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hconsultants.sharepoint.com/sites/Norcal/Clients/B/Beverly Hills/2021/W-WW COS Study/Analysis/"/>
    </mc:Choice>
  </mc:AlternateContent>
  <xr:revisionPtr revIDLastSave="3" documentId="8_{5F799386-F0D3-4DC6-932D-2F4C97304709}" xr6:coauthVersionLast="47" xr6:coauthVersionMax="47" xr10:uidLastSave="{EC18DF96-F35B-4CE9-948C-20F63E84B9CE}"/>
  <workbookProtection workbookAlgorithmName="SHA-512" workbookHashValue="E2es7t7J0G8NzhF0w4neTwv77HSq6H5pbDN20kvkKt0f1YWBULzcR2LBdK2NAR6rsYx4acWAs+McfxR9CAjsuA==" workbookSaltValue="8ZrvqB4RmEQycvJ4ENSRzQ==" workbookSpinCount="100000" lockStructure="1"/>
  <bookViews>
    <workbookView xWindow="-120" yWindow="-120" windowWidth="29040" windowHeight="15720" xr2:uid="{911DF2D7-C3D8-4E81-8D20-B92A7AA299D6}"/>
  </bookViews>
  <sheets>
    <sheet name="Single Family &amp; Duplexes" sheetId="1" r:id="rId1"/>
    <sheet name="Multi Family 3+ units" sheetId="2" r:id="rId2"/>
    <sheet name="Commercial" sheetId="3" r:id="rId3"/>
    <sheet name="back-up" sheetId="4" state="hidden" r:id="rId4"/>
  </sheets>
  <definedNames>
    <definedName name="Af">#REF!</definedName>
    <definedName name="budget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" localSheetId="0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localSheetId="0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ConstCostRounding">#REF!</definedName>
    <definedName name="ConstRounding">#REF!</definedName>
    <definedName name="_xlnm.Database">#REF!</definedName>
    <definedName name="debt2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bt2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bt2" localSheetId="0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bt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l">#REF!</definedName>
    <definedName name="DS_1991">#REF!</definedName>
    <definedName name="DS_2003">#REF!</definedName>
    <definedName name="DS_2004">#REF!</definedName>
    <definedName name="DS_Combined">#REF!</definedName>
    <definedName name="DS_Expense">#REF!</definedName>
    <definedName name="DS_Expense2">#REF!</definedName>
    <definedName name="DS_Payments">#REF!</definedName>
    <definedName name="esp">#REF!</definedName>
    <definedName name="footnote">#REF!</definedName>
    <definedName name="footnote2">#REF!</definedName>
    <definedName name="Future_DS">#REF!</definedName>
    <definedName name="govact">#REF!</definedName>
    <definedName name="govactdebt">#REF!</definedName>
    <definedName name="ImprovementCategories">#REF!</definedName>
    <definedName name="LIFE">#REF!</definedName>
    <definedName name="LONGTERMDEBT">#REF!</definedName>
    <definedName name="NewReplace">#REF!</definedName>
    <definedName name="nf">#REF!</definedName>
    <definedName name="Phase1EndYear">#REF!</definedName>
    <definedName name="Phase1StartYear">#REF!</definedName>
    <definedName name="Phase2EndYear">#REF!</definedName>
    <definedName name="Phase2StartYear">#REF!</definedName>
    <definedName name="Phase3EndYear">#REF!</definedName>
    <definedName name="Phase3StartYear">#REF!</definedName>
    <definedName name="Phase4EndYear">#REF!</definedName>
    <definedName name="Phase4StartYear">#REF!</definedName>
    <definedName name="Phase5EndYear">#REF!</definedName>
    <definedName name="Phase5StartYear">#REF!</definedName>
    <definedName name="_xlnm.Print_Area" localSheetId="2">Commercial!#REF!</definedName>
    <definedName name="_xlnm.Print_Area" localSheetId="1">'Multi Family 3+ units'!#REF!</definedName>
    <definedName name="_xlnm.Print_Area" localSheetId="0">'Single Family &amp; Duplexes'!$A$1:$V$45</definedName>
    <definedName name="ProjectTypeList">#REF!</definedName>
    <definedName name="q">#REF!</definedName>
    <definedName name="Qf">#REF!</definedName>
    <definedName name="RDA_FN">#REF!</definedName>
    <definedName name="RDA_FN2">#REF!</definedName>
    <definedName name="Rf">#REF!</definedName>
    <definedName name="rp">#REF!</definedName>
    <definedName name="s">#REF!</definedName>
    <definedName name="SewerPipeAndCasings">#REF!</definedName>
    <definedName name="SewerPipeSizes">#REF!</definedName>
    <definedName name="summary2" localSheetId="2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summary2" localSheetId="1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summary2" localSheetId="0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summary2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TypeOfImprovementList">#REF!</definedName>
    <definedName name="wrn.Budget.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Budget.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Budget." localSheetId="0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Budget.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Dept.._.Summary." localSheetId="2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Dept.._.Summary." localSheetId="1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Dept.._.Summary." localSheetId="0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Dept.._.Summary.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Prelim." localSheetId="2" hidden="1">{"Exh. 1",#N/A,FALSE,"Current";"Exh. 3",#N/A,FALSE,"SrvChrg";"Exh. 4",#N/A,FALSE,"CumUse";"Exh. 5",#N/A,FALSE,"UseChar";"Exh. 6",#N/A,FALSE,"Current";"Exh. 7",#N/A,FALSE,"UseChar";"Exh. 8",#N/A,FALSE,"List"}</definedName>
    <definedName name="wrn.Prelim." localSheetId="1" hidden="1">{"Exh. 1",#N/A,FALSE,"Current";"Exh. 3",#N/A,FALSE,"SrvChrg";"Exh. 4",#N/A,FALSE,"CumUse";"Exh. 5",#N/A,FALSE,"UseChar";"Exh. 6",#N/A,FALSE,"Current";"Exh. 7",#N/A,FALSE,"UseChar";"Exh. 8",#N/A,FALSE,"List"}</definedName>
    <definedName name="wrn.Prelim." localSheetId="0" hidden="1">{"Exh. 1",#N/A,FALSE,"Current";"Exh. 3",#N/A,FALSE,"SrvChrg";"Exh. 4",#N/A,FALSE,"CumUse";"Exh. 5",#N/A,FALSE,"UseChar";"Exh. 6",#N/A,FALSE,"Current";"Exh. 7",#N/A,FALSE,"UseChar";"Exh. 8",#N/A,FALSE,"List"}</definedName>
    <definedName name="wrn.Prelim." hidden="1">{"Exh. 1",#N/A,FALSE,"Current";"Exh. 3",#N/A,FALSE,"SrvChrg";"Exh. 4",#N/A,FALSE,"CumUse";"Exh. 5",#N/A,FALSE,"UseChar";"Exh. 6",#N/A,FALSE,"Current";"Exh. 7",#N/A,FALSE,"UseChar";"Exh. 8",#N/A,FALSE,"List"}</definedName>
    <definedName name="wrn.Rate._.Calcs." localSheetId="2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localSheetId="1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eport._.Exhibits." localSheetId="2" hidden="1">{"Exh 8",#N/A,FALSE,"UseChar";"Exh 7",#N/A,FALSE,"Alts";"Exh 5",#N/A,FALSE,"UseChar"}</definedName>
    <definedName name="wrn.Report._.Exhibits." localSheetId="1" hidden="1">{"Exh 8",#N/A,FALSE,"UseChar";"Exh 7",#N/A,FALSE,"Alts";"Exh 5",#N/A,FALSE,"UseChar"}</definedName>
    <definedName name="wrn.Report._.Exhibits." localSheetId="0" hidden="1">{"Exh 8",#N/A,FALSE,"UseChar";"Exh 7",#N/A,FALSE,"Alts";"Exh 5",#N/A,FALSE,"UseChar"}</definedName>
    <definedName name="wrn.Report._.Exhibits." hidden="1">{"Exh 8",#N/A,FALSE,"UseChar";"Exh 7",#N/A,FALSE,"Alts";"Exh 5",#N/A,FALSE,"UseChar"}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5" i="2"/>
  <c r="S18" i="3" l="1"/>
  <c r="Q18" i="3"/>
  <c r="O18" i="3"/>
  <c r="H18" i="3"/>
  <c r="S18" i="2"/>
  <c r="Q18" i="2"/>
  <c r="O18" i="2"/>
  <c r="H18" i="2"/>
  <c r="T18" i="1"/>
  <c r="P18" i="1"/>
  <c r="R18" i="1"/>
  <c r="H18" i="1"/>
  <c r="T27" i="3"/>
  <c r="R27" i="3"/>
  <c r="P27" i="3"/>
  <c r="M27" i="3"/>
  <c r="I27" i="3"/>
  <c r="F27" i="3"/>
  <c r="F30" i="3" s="1"/>
  <c r="T16" i="3"/>
  <c r="S19" i="3" s="1"/>
  <c r="R16" i="3"/>
  <c r="Q19" i="3" s="1"/>
  <c r="P16" i="3"/>
  <c r="O19" i="3" s="1"/>
  <c r="M16" i="3"/>
  <c r="K19" i="3" s="1"/>
  <c r="I16" i="3"/>
  <c r="F16" i="3"/>
  <c r="D21" i="3" s="1"/>
  <c r="T16" i="2"/>
  <c r="T31" i="2" s="1"/>
  <c r="R16" i="2"/>
  <c r="R31" i="2" s="1"/>
  <c r="P16" i="2"/>
  <c r="P31" i="2" s="1"/>
  <c r="M16" i="2"/>
  <c r="M31" i="2" s="1"/>
  <c r="I16" i="2"/>
  <c r="I31" i="2" s="1"/>
  <c r="F16" i="2"/>
  <c r="F25" i="2" s="1"/>
  <c r="M22" i="1"/>
  <c r="M19" i="1"/>
  <c r="M20" i="1" s="1"/>
  <c r="M21" i="1" s="1"/>
  <c r="E22" i="1"/>
  <c r="E19" i="1"/>
  <c r="E20" i="1" s="1"/>
  <c r="E21" i="1" s="1"/>
  <c r="U16" i="1"/>
  <c r="U39" i="1" s="1"/>
  <c r="S16" i="1"/>
  <c r="S39" i="1" s="1"/>
  <c r="Q16" i="1"/>
  <c r="N16" i="1"/>
  <c r="L19" i="1" s="1"/>
  <c r="I16" i="1"/>
  <c r="I39" i="1" s="1"/>
  <c r="F16" i="1"/>
  <c r="D22" i="1" s="1"/>
  <c r="H22" i="1" s="1"/>
  <c r="E25" i="1"/>
  <c r="M25" i="1"/>
  <c r="C33" i="3"/>
  <c r="Q39" i="1" l="1"/>
  <c r="Q19" i="1"/>
  <c r="D19" i="3"/>
  <c r="H19" i="3" s="1"/>
  <c r="F31" i="2"/>
  <c r="H25" i="2"/>
  <c r="K25" i="2" s="1"/>
  <c r="O25" i="2" s="1"/>
  <c r="Q25" i="2" s="1"/>
  <c r="S25" i="2" s="1"/>
  <c r="S19" i="2"/>
  <c r="S20" i="2"/>
  <c r="Q19" i="2"/>
  <c r="O19" i="2"/>
  <c r="Q20" i="2"/>
  <c r="O20" i="2"/>
  <c r="U19" i="1"/>
  <c r="T19" i="1"/>
  <c r="T21" i="1"/>
  <c r="T20" i="1"/>
  <c r="T22" i="1"/>
  <c r="S19" i="1"/>
  <c r="R19" i="1"/>
  <c r="R22" i="1"/>
  <c r="R21" i="1"/>
  <c r="R20" i="1"/>
  <c r="P20" i="1"/>
  <c r="P22" i="1"/>
  <c r="P19" i="1"/>
  <c r="P21" i="1"/>
  <c r="I19" i="1"/>
  <c r="P30" i="3"/>
  <c r="M30" i="3"/>
  <c r="I30" i="3"/>
  <c r="E19" i="3"/>
  <c r="I19" i="3" s="1"/>
  <c r="D20" i="2"/>
  <c r="H20" i="2" s="1"/>
  <c r="D19" i="2"/>
  <c r="H19" i="2" s="1"/>
  <c r="K20" i="2"/>
  <c r="K19" i="2"/>
  <c r="I35" i="2"/>
  <c r="D21" i="1"/>
  <c r="H21" i="1" s="1"/>
  <c r="D19" i="1"/>
  <c r="H19" i="1" s="1"/>
  <c r="D20" i="1"/>
  <c r="H20" i="1" s="1"/>
  <c r="N39" i="1"/>
  <c r="Q20" i="1"/>
  <c r="S20" i="1"/>
  <c r="U21" i="1"/>
  <c r="U22" i="1"/>
  <c r="Q21" i="1"/>
  <c r="Q22" i="1"/>
  <c r="S21" i="1"/>
  <c r="S22" i="1"/>
  <c r="U20" i="1"/>
  <c r="L20" i="1"/>
  <c r="L21" i="1"/>
  <c r="L22" i="1"/>
  <c r="I22" i="1"/>
  <c r="I20" i="1"/>
  <c r="I21" i="1"/>
  <c r="F12" i="4"/>
  <c r="F11" i="4"/>
  <c r="H21" i="3" l="1"/>
  <c r="K21" i="3" s="1"/>
  <c r="O21" i="3" s="1"/>
  <c r="Q21" i="3" s="1"/>
  <c r="S21" i="3" s="1"/>
  <c r="D11" i="3"/>
  <c r="F36" i="2"/>
  <c r="F37" i="2"/>
  <c r="F38" i="2" s="1"/>
  <c r="F38" i="1"/>
  <c r="R35" i="2"/>
  <c r="F35" i="2"/>
  <c r="I36" i="1"/>
  <c r="S36" i="1" s="1"/>
  <c r="F36" i="1"/>
  <c r="F37" i="1"/>
  <c r="D12" i="2"/>
  <c r="E32" i="1"/>
  <c r="D11" i="1"/>
  <c r="R58" i="4"/>
  <c r="V62" i="4"/>
  <c r="T62" i="4"/>
  <c r="R62" i="4"/>
  <c r="V61" i="4"/>
  <c r="T61" i="4"/>
  <c r="R61" i="4"/>
  <c r="V60" i="4"/>
  <c r="T60" i="4"/>
  <c r="R60" i="4"/>
  <c r="V59" i="4"/>
  <c r="T59" i="4"/>
  <c r="R59" i="4"/>
  <c r="V58" i="4"/>
  <c r="T58" i="4"/>
  <c r="V55" i="4"/>
  <c r="V54" i="4"/>
  <c r="V53" i="4"/>
  <c r="V52" i="4"/>
  <c r="V51" i="4"/>
  <c r="T55" i="4"/>
  <c r="T54" i="4"/>
  <c r="T53" i="4"/>
  <c r="T52" i="4"/>
  <c r="T51" i="4"/>
  <c r="R55" i="4"/>
  <c r="R54" i="4"/>
  <c r="R53" i="4"/>
  <c r="R52" i="4"/>
  <c r="R51" i="4"/>
  <c r="M35" i="2" l="1"/>
  <c r="P35" i="2"/>
  <c r="N36" i="1"/>
  <c r="Q36" i="1"/>
  <c r="F32" i="1" l="1"/>
  <c r="I32" i="1" s="1"/>
  <c r="F32" i="4"/>
  <c r="F31" i="4"/>
  <c r="F28" i="4"/>
  <c r="F27" i="4"/>
  <c r="N49" i="4"/>
  <c r="L49" i="4"/>
  <c r="J49" i="4"/>
  <c r="H49" i="4"/>
  <c r="F49" i="4"/>
  <c r="F24" i="4"/>
  <c r="F23" i="4"/>
  <c r="F22" i="4"/>
  <c r="F21" i="4"/>
  <c r="F18" i="4"/>
  <c r="F17" i="4"/>
  <c r="F16" i="4"/>
  <c r="F15" i="4"/>
  <c r="F10" i="4"/>
  <c r="F9" i="4"/>
  <c r="F8" i="4"/>
  <c r="F7" i="4"/>
  <c r="F6" i="4"/>
  <c r="F5" i="4"/>
  <c r="N32" i="1" l="1"/>
  <c r="S32" i="1"/>
  <c r="Q32" i="1"/>
  <c r="U32" i="1"/>
  <c r="I37" i="1" l="1"/>
  <c r="S37" i="1" s="1"/>
  <c r="I36" i="2"/>
  <c r="T36" i="2" s="1"/>
  <c r="F31" i="3"/>
  <c r="I31" i="3"/>
  <c r="M31" i="3"/>
  <c r="P31" i="3" s="1"/>
  <c r="R31" i="3" s="1"/>
  <c r="M36" i="2" l="1"/>
  <c r="P36" i="2"/>
  <c r="R36" i="2"/>
  <c r="N37" i="1"/>
  <c r="U37" i="1"/>
  <c r="Q37" i="1"/>
  <c r="L25" i="2" l="1"/>
  <c r="D8" i="2"/>
  <c r="E19" i="2" l="1"/>
  <c r="I19" i="2" s="1"/>
  <c r="J33" i="3"/>
  <c r="J32" i="3"/>
  <c r="C32" i="3"/>
  <c r="J31" i="3"/>
  <c r="T31" i="3"/>
  <c r="C31" i="3"/>
  <c r="J30" i="3"/>
  <c r="F32" i="3"/>
  <c r="C30" i="3"/>
  <c r="J29" i="3"/>
  <c r="C29" i="3"/>
  <c r="J28" i="3"/>
  <c r="C28" i="3"/>
  <c r="J27" i="3"/>
  <c r="C27" i="3"/>
  <c r="L19" i="3"/>
  <c r="T19" i="3" s="1"/>
  <c r="K16" i="3"/>
  <c r="D16" i="3"/>
  <c r="J38" i="2"/>
  <c r="C38" i="2"/>
  <c r="J37" i="2"/>
  <c r="C37" i="2"/>
  <c r="J36" i="2"/>
  <c r="C36" i="2"/>
  <c r="J35" i="2"/>
  <c r="C35" i="2"/>
  <c r="J34" i="2"/>
  <c r="C34" i="2"/>
  <c r="J32" i="2"/>
  <c r="F32" i="2"/>
  <c r="R32" i="2" s="1"/>
  <c r="E32" i="2"/>
  <c r="C32" i="2"/>
  <c r="J31" i="2"/>
  <c r="C31" i="2"/>
  <c r="E25" i="2"/>
  <c r="T22" i="2"/>
  <c r="R22" i="2"/>
  <c r="P22" i="2"/>
  <c r="M22" i="2"/>
  <c r="I22" i="2"/>
  <c r="F22" i="2"/>
  <c r="K16" i="2"/>
  <c r="D16" i="2"/>
  <c r="L19" i="2"/>
  <c r="T19" i="2" s="1"/>
  <c r="J39" i="1"/>
  <c r="C39" i="1"/>
  <c r="J38" i="1"/>
  <c r="C38" i="1"/>
  <c r="J37" i="1"/>
  <c r="C37" i="1"/>
  <c r="J36" i="1"/>
  <c r="C36" i="1"/>
  <c r="J35" i="1"/>
  <c r="C35" i="1"/>
  <c r="J32" i="1"/>
  <c r="C32" i="1"/>
  <c r="J31" i="1"/>
  <c r="C31" i="1"/>
  <c r="T29" i="1"/>
  <c r="N19" i="1"/>
  <c r="L16" i="1"/>
  <c r="F31" i="1"/>
  <c r="D16" i="1"/>
  <c r="M25" i="2" l="1"/>
  <c r="I25" i="2"/>
  <c r="P25" i="2"/>
  <c r="T25" i="2"/>
  <c r="R25" i="2"/>
  <c r="H25" i="1"/>
  <c r="L25" i="1" s="1"/>
  <c r="P25" i="1" s="1"/>
  <c r="R25" i="1" s="1"/>
  <c r="T25" i="1" s="1"/>
  <c r="P19" i="3"/>
  <c r="R19" i="3"/>
  <c r="P19" i="2"/>
  <c r="R19" i="2"/>
  <c r="F25" i="1"/>
  <c r="Q31" i="1"/>
  <c r="Q33" i="1" s="1"/>
  <c r="N31" i="1"/>
  <c r="N33" i="1" s="1"/>
  <c r="S31" i="1"/>
  <c r="S33" i="1" s="1"/>
  <c r="I31" i="1"/>
  <c r="I33" i="1" s="1"/>
  <c r="U31" i="1"/>
  <c r="U33" i="1" s="1"/>
  <c r="F33" i="1"/>
  <c r="F33" i="3"/>
  <c r="F34" i="3" s="1"/>
  <c r="F36" i="3" s="1"/>
  <c r="M19" i="3"/>
  <c r="E20" i="2"/>
  <c r="I20" i="2" s="1"/>
  <c r="M19" i="2"/>
  <c r="F19" i="1"/>
  <c r="N22" i="1"/>
  <c r="S38" i="1"/>
  <c r="F33" i="2"/>
  <c r="R37" i="2"/>
  <c r="R38" i="2" s="1"/>
  <c r="R33" i="2"/>
  <c r="F22" i="1"/>
  <c r="F19" i="3"/>
  <c r="T30" i="3"/>
  <c r="T32" i="3" s="1"/>
  <c r="T33" i="3" s="1"/>
  <c r="L21" i="3"/>
  <c r="L20" i="2"/>
  <c r="T20" i="2" s="1"/>
  <c r="F19" i="2"/>
  <c r="E21" i="3"/>
  <c r="I21" i="3" s="1"/>
  <c r="R30" i="3"/>
  <c r="I32" i="2"/>
  <c r="T32" i="2" s="1"/>
  <c r="T33" i="2" s="1"/>
  <c r="M32" i="2"/>
  <c r="M33" i="2" s="1"/>
  <c r="P32" i="2"/>
  <c r="P33" i="2" s="1"/>
  <c r="P37" i="2"/>
  <c r="P38" i="2" s="1"/>
  <c r="I25" i="1" l="1"/>
  <c r="P20" i="2"/>
  <c r="P21" i="2" s="1"/>
  <c r="P23" i="2" s="1"/>
  <c r="P27" i="2" s="1"/>
  <c r="R20" i="2"/>
  <c r="R21" i="2" s="1"/>
  <c r="R23" i="2" s="1"/>
  <c r="R27" i="2" s="1"/>
  <c r="N25" i="1"/>
  <c r="T21" i="2"/>
  <c r="T23" i="2" s="1"/>
  <c r="T27" i="2" s="1"/>
  <c r="L21" i="2"/>
  <c r="M20" i="2"/>
  <c r="M21" i="2" s="1"/>
  <c r="M23" i="2" s="1"/>
  <c r="M27" i="2" s="1"/>
  <c r="F39" i="2"/>
  <c r="F41" i="2" s="1"/>
  <c r="M23" i="1"/>
  <c r="N21" i="1"/>
  <c r="N20" i="1"/>
  <c r="F20" i="1"/>
  <c r="R32" i="3"/>
  <c r="N38" i="1"/>
  <c r="Q38" i="1"/>
  <c r="U36" i="1"/>
  <c r="U38" i="1" s="1"/>
  <c r="I38" i="1"/>
  <c r="F39" i="1"/>
  <c r="M37" i="2"/>
  <c r="M38" i="2" s="1"/>
  <c r="R39" i="2"/>
  <c r="R41" i="2" s="1"/>
  <c r="T34" i="3"/>
  <c r="T36" i="3" s="1"/>
  <c r="I32" i="3"/>
  <c r="I33" i="3" s="1"/>
  <c r="P39" i="2"/>
  <c r="P41" i="2" s="1"/>
  <c r="F20" i="2"/>
  <c r="F21" i="2" s="1"/>
  <c r="F23" i="2" s="1"/>
  <c r="F27" i="2" s="1"/>
  <c r="I21" i="2"/>
  <c r="I23" i="2" s="1"/>
  <c r="I27" i="2" s="1"/>
  <c r="M21" i="3"/>
  <c r="M23" i="3" s="1"/>
  <c r="I23" i="3"/>
  <c r="R21" i="3"/>
  <c r="R23" i="3" s="1"/>
  <c r="F21" i="3"/>
  <c r="F23" i="3" s="1"/>
  <c r="F38" i="3" s="1"/>
  <c r="P21" i="3"/>
  <c r="P23" i="3" s="1"/>
  <c r="T21" i="3"/>
  <c r="T23" i="3" s="1"/>
  <c r="E21" i="2"/>
  <c r="T35" i="2"/>
  <c r="T37" i="2" s="1"/>
  <c r="T38" i="2" s="1"/>
  <c r="I37" i="2"/>
  <c r="I38" i="2" s="1"/>
  <c r="M32" i="3"/>
  <c r="M33" i="3" s="1"/>
  <c r="I33" i="2"/>
  <c r="P32" i="3"/>
  <c r="P33" i="3" s="1"/>
  <c r="Q25" i="1" l="1"/>
  <c r="F21" i="1"/>
  <c r="F23" i="1" s="1"/>
  <c r="I23" i="1"/>
  <c r="R33" i="3"/>
  <c r="R34" i="3" s="1"/>
  <c r="R36" i="3" s="1"/>
  <c r="R38" i="3" s="1"/>
  <c r="U23" i="1"/>
  <c r="S23" i="1"/>
  <c r="E23" i="1"/>
  <c r="N23" i="1"/>
  <c r="Q23" i="1"/>
  <c r="S40" i="1"/>
  <c r="S42" i="1" s="1"/>
  <c r="F40" i="1"/>
  <c r="F42" i="1" s="1"/>
  <c r="T38" i="3"/>
  <c r="R43" i="2"/>
  <c r="U40" i="1"/>
  <c r="I40" i="1"/>
  <c r="Q40" i="1"/>
  <c r="M39" i="2"/>
  <c r="M41" i="2" s="1"/>
  <c r="M43" i="2" s="1"/>
  <c r="I34" i="3"/>
  <c r="I36" i="3" s="1"/>
  <c r="I38" i="3" s="1"/>
  <c r="P43" i="2"/>
  <c r="P34" i="3"/>
  <c r="P36" i="3" s="1"/>
  <c r="P38" i="3" s="1"/>
  <c r="M34" i="3"/>
  <c r="M36" i="3" s="1"/>
  <c r="M38" i="3" s="1"/>
  <c r="T39" i="2"/>
  <c r="T41" i="2" s="1"/>
  <c r="T43" i="2" s="1"/>
  <c r="F43" i="2"/>
  <c r="I39" i="2"/>
  <c r="I41" i="2" s="1"/>
  <c r="I43" i="2" s="1"/>
  <c r="U25" i="1" l="1"/>
  <c r="U27" i="1" s="1"/>
  <c r="S25" i="1"/>
  <c r="S27" i="1" s="1"/>
  <c r="S44" i="1" s="1"/>
  <c r="I27" i="1"/>
  <c r="N27" i="1"/>
  <c r="F27" i="1"/>
  <c r="F44" i="1" s="1"/>
  <c r="Q27" i="1"/>
  <c r="N40" i="1"/>
  <c r="N42" i="1" s="1"/>
  <c r="I42" i="1"/>
  <c r="Q42" i="1"/>
  <c r="U42" i="1"/>
  <c r="I44" i="1" l="1"/>
  <c r="Q44" i="1"/>
  <c r="N44" i="1"/>
  <c r="U44" i="1"/>
</calcChain>
</file>

<file path=xl/sharedStrings.xml><?xml version="1.0" encoding="utf-8"?>
<sst xmlns="http://schemas.openxmlformats.org/spreadsheetml/2006/main" count="271" uniqueCount="122">
  <si>
    <t>Single Family &amp; Duplex</t>
  </si>
  <si>
    <t>Proposed Rates</t>
  </si>
  <si>
    <t>Current Rates</t>
  </si>
  <si>
    <t>Service Charges</t>
  </si>
  <si>
    <t>INPUTS</t>
  </si>
  <si>
    <t>1"</t>
  </si>
  <si>
    <r>
      <rPr>
        <b/>
        <sz val="11"/>
        <color rgb="FFFF0000"/>
        <rFont val="Calibri"/>
        <family val="2"/>
        <scheme val="minor"/>
      </rPr>
      <t xml:space="preserve">1.  </t>
    </r>
    <r>
      <rPr>
        <b/>
        <sz val="11"/>
        <color theme="1"/>
        <rFont val="Calibri"/>
        <family val="2"/>
        <scheme val="minor"/>
      </rPr>
      <t>Select Customer Type</t>
    </r>
  </si>
  <si>
    <t>1 1/2"</t>
  </si>
  <si>
    <r>
      <rPr>
        <b/>
        <sz val="11"/>
        <color rgb="FFFF0000"/>
        <rFont val="Calibri"/>
        <family val="2"/>
        <scheme val="minor"/>
      </rPr>
      <t xml:space="preserve">2.  </t>
    </r>
    <r>
      <rPr>
        <b/>
        <sz val="11"/>
        <color theme="1"/>
        <rFont val="Calibri"/>
        <family val="2"/>
        <scheme val="minor"/>
      </rPr>
      <t>Select Service Area</t>
    </r>
  </si>
  <si>
    <t>be complete for a</t>
  </si>
  <si>
    <t>2"</t>
  </si>
  <si>
    <r>
      <rPr>
        <b/>
        <sz val="11"/>
        <color rgb="FFFF0000"/>
        <rFont val="Calibri"/>
        <family val="2"/>
        <scheme val="minor"/>
      </rPr>
      <t xml:space="preserve">3. </t>
    </r>
    <r>
      <rPr>
        <b/>
        <sz val="11"/>
        <color theme="1"/>
        <rFont val="Calibri"/>
        <family val="2"/>
        <scheme val="minor"/>
      </rPr>
      <t xml:space="preserve"> Select Meter Size</t>
    </r>
  </si>
  <si>
    <t>bill to calculate</t>
  </si>
  <si>
    <t>3"</t>
  </si>
  <si>
    <r>
      <rPr>
        <b/>
        <sz val="11"/>
        <color rgb="FFFF0000"/>
        <rFont val="Calibri"/>
        <family val="2"/>
        <scheme val="minor"/>
      </rPr>
      <t xml:space="preserve">4.  </t>
    </r>
    <r>
      <rPr>
        <b/>
        <sz val="11"/>
        <color theme="1"/>
        <rFont val="Calibri"/>
        <family val="2"/>
        <scheme val="minor"/>
      </rPr>
      <t>Enter Bi-Monthly Water Use</t>
    </r>
    <r>
      <rPr>
        <sz val="11"/>
        <color theme="1"/>
        <rFont val="Calibri"/>
        <family val="2"/>
        <scheme val="minor"/>
      </rPr>
      <t xml:space="preserve"> (hcf)</t>
    </r>
  </si>
  <si>
    <t>4"</t>
  </si>
  <si>
    <r>
      <rPr>
        <b/>
        <sz val="11"/>
        <color rgb="FFFF0000"/>
        <rFont val="Calibri"/>
        <family val="2"/>
        <scheme val="minor"/>
      </rPr>
      <t>5.</t>
    </r>
    <r>
      <rPr>
        <b/>
        <sz val="11"/>
        <color theme="1"/>
        <rFont val="Calibri"/>
        <family val="2"/>
        <scheme val="minor"/>
      </rPr>
      <t xml:space="preserve"> Meter includes irrigation?</t>
    </r>
  </si>
  <si>
    <t>Yes</t>
  </si>
  <si>
    <t>6"</t>
  </si>
  <si>
    <t>Answer "No" if account has a separate irrigation meter. Answer "Yes" if unsure.</t>
  </si>
  <si>
    <t>Beverly Hills Quantity Charge Rate per HCF</t>
  </si>
  <si>
    <t>Water Charges</t>
  </si>
  <si>
    <t>Tier 1</t>
  </si>
  <si>
    <t>Tier 2</t>
  </si>
  <si>
    <t>Meter Charge</t>
  </si>
  <si>
    <t>Tier 3</t>
  </si>
  <si>
    <t>Tier 4</t>
  </si>
  <si>
    <t>Quantity Charge</t>
  </si>
  <si>
    <t>Rate ($/hcf)</t>
  </si>
  <si>
    <t>hcf</t>
  </si>
  <si>
    <t>Charge</t>
  </si>
  <si>
    <r>
      <rPr>
        <b/>
        <sz val="11"/>
        <color theme="1"/>
        <rFont val="Calibri"/>
        <family val="2"/>
        <scheme val="minor"/>
      </rPr>
      <t xml:space="preserve">Tier 1: </t>
    </r>
    <r>
      <rPr>
        <sz val="11"/>
        <color theme="1"/>
        <rFont val="Calibri"/>
        <family val="2"/>
        <scheme val="minor"/>
      </rPr>
      <t xml:space="preserve">  &lt;=26 hcf</t>
    </r>
  </si>
  <si>
    <r>
      <rPr>
        <b/>
        <sz val="11"/>
        <color theme="1"/>
        <rFont val="Calibri"/>
        <family val="2"/>
        <scheme val="minor"/>
      </rPr>
      <t xml:space="preserve">Tier 1: </t>
    </r>
    <r>
      <rPr>
        <sz val="11"/>
        <color theme="1"/>
        <rFont val="Calibri"/>
        <family val="2"/>
        <scheme val="minor"/>
      </rPr>
      <t xml:space="preserve">  &lt;=32 hcf</t>
    </r>
  </si>
  <si>
    <t>West Hollywood Quantity Charge Rate per HCF</t>
  </si>
  <si>
    <r>
      <rPr>
        <b/>
        <sz val="11"/>
        <color theme="1"/>
        <rFont val="Calibri"/>
        <family val="2"/>
        <scheme val="minor"/>
      </rPr>
      <t>Tier 2:</t>
    </r>
    <r>
      <rPr>
        <sz val="11"/>
        <color theme="1"/>
        <rFont val="Calibri"/>
        <family val="2"/>
        <scheme val="minor"/>
      </rPr>
      <t xml:space="preserve">   27 to 48 hcf</t>
    </r>
  </si>
  <si>
    <r>
      <rPr>
        <b/>
        <sz val="11"/>
        <color theme="1"/>
        <rFont val="Calibri"/>
        <family val="2"/>
        <scheme val="minor"/>
      </rPr>
      <t>Tier 2:</t>
    </r>
    <r>
      <rPr>
        <sz val="11"/>
        <color theme="1"/>
        <rFont val="Calibri"/>
        <family val="2"/>
        <scheme val="minor"/>
      </rPr>
      <t xml:space="preserve">   33 to 48 hcf</t>
    </r>
  </si>
  <si>
    <r>
      <rPr>
        <b/>
        <sz val="11"/>
        <color theme="1"/>
        <rFont val="Calibri"/>
        <family val="2"/>
        <scheme val="minor"/>
      </rPr>
      <t>Tier 3:</t>
    </r>
    <r>
      <rPr>
        <sz val="11"/>
        <color theme="1"/>
        <rFont val="Calibri"/>
        <family val="2"/>
        <scheme val="minor"/>
      </rPr>
      <t xml:space="preserve">   49 to 86 hcf</t>
    </r>
  </si>
  <si>
    <r>
      <rPr>
        <b/>
        <sz val="11"/>
        <color theme="1"/>
        <rFont val="Calibri"/>
        <family val="2"/>
        <scheme val="minor"/>
      </rPr>
      <t>Tier 3:</t>
    </r>
    <r>
      <rPr>
        <sz val="11"/>
        <color theme="1"/>
        <rFont val="Calibri"/>
        <family val="2"/>
        <scheme val="minor"/>
      </rPr>
      <t xml:space="preserve">   49 to 83 hcf</t>
    </r>
  </si>
  <si>
    <r>
      <rPr>
        <b/>
        <sz val="11"/>
        <color theme="1"/>
        <rFont val="Calibri"/>
        <family val="2"/>
        <scheme val="minor"/>
      </rPr>
      <t>Tier 4:</t>
    </r>
    <r>
      <rPr>
        <sz val="11"/>
        <color theme="1"/>
        <rFont val="Calibri"/>
        <family val="2"/>
        <scheme val="minor"/>
      </rPr>
      <t xml:space="preserve">   86+ hcf</t>
    </r>
  </si>
  <si>
    <r>
      <rPr>
        <b/>
        <sz val="11"/>
        <color theme="1"/>
        <rFont val="Calibri"/>
        <family val="2"/>
        <scheme val="minor"/>
      </rPr>
      <t>Tier 4:</t>
    </r>
    <r>
      <rPr>
        <sz val="11"/>
        <color theme="1"/>
        <rFont val="Calibri"/>
        <family val="2"/>
        <scheme val="minor"/>
      </rPr>
      <t xml:space="preserve">   84+ hcf</t>
    </r>
  </si>
  <si>
    <t>Water Reliability Charge</t>
  </si>
  <si>
    <t>TOTAL BI-MONTHLY WATER CHARGES</t>
  </si>
  <si>
    <t>Service Charge Rate</t>
  </si>
  <si>
    <t>Single Family</t>
  </si>
  <si>
    <t>Sewer Charges</t>
  </si>
  <si>
    <t>Multi Family</t>
  </si>
  <si>
    <t>Commercial</t>
  </si>
  <si>
    <t>Quantity Charge Rate per hcf</t>
  </si>
  <si>
    <t>Commercial Low</t>
  </si>
  <si>
    <t>Commercial Medium</t>
  </si>
  <si>
    <t>n/a</t>
  </si>
  <si>
    <t>Commercial High</t>
  </si>
  <si>
    <t>TOTAL BI-MONTHLY SEWER CHARGES</t>
  </si>
  <si>
    <t>Return to Sewer factor</t>
  </si>
  <si>
    <t>SFR</t>
  </si>
  <si>
    <t>TOTAL BI-MONTHLY CHARGES</t>
  </si>
  <si>
    <t>MFR</t>
  </si>
  <si>
    <t>No</t>
  </si>
  <si>
    <t>Comm</t>
  </si>
  <si>
    <t>Muni</t>
  </si>
  <si>
    <t>Multi Family (3 + units)</t>
  </si>
  <si>
    <r>
      <rPr>
        <b/>
        <sz val="11"/>
        <color rgb="FFFF0000"/>
        <rFont val="Calibri"/>
        <family val="2"/>
        <scheme val="minor"/>
      </rPr>
      <t xml:space="preserve">1.  </t>
    </r>
    <r>
      <rPr>
        <b/>
        <sz val="11"/>
        <color theme="1"/>
        <rFont val="Calibri"/>
        <family val="2"/>
        <scheme val="minor"/>
      </rPr>
      <t>Select Service Area</t>
    </r>
  </si>
  <si>
    <r>
      <rPr>
        <b/>
        <sz val="11"/>
        <color rgb="FFFF0000"/>
        <rFont val="Calibri"/>
        <family val="2"/>
        <scheme val="minor"/>
      </rPr>
      <t xml:space="preserve">2. </t>
    </r>
    <r>
      <rPr>
        <b/>
        <sz val="11"/>
        <color theme="1"/>
        <rFont val="Calibri"/>
        <family val="2"/>
        <scheme val="minor"/>
      </rPr>
      <t xml:space="preserve"> Select Meter Size</t>
    </r>
  </si>
  <si>
    <r>
      <rPr>
        <b/>
        <sz val="11"/>
        <color rgb="FFFF0000"/>
        <rFont val="Calibri"/>
        <family val="2"/>
        <scheme val="minor"/>
      </rPr>
      <t xml:space="preserve">3.  </t>
    </r>
    <r>
      <rPr>
        <b/>
        <sz val="11"/>
        <color theme="1"/>
        <rFont val="Calibri"/>
        <family val="2"/>
        <scheme val="minor"/>
      </rPr>
      <t>Enter Bi-Monthly Water Use</t>
    </r>
    <r>
      <rPr>
        <sz val="11"/>
        <color theme="1"/>
        <rFont val="Calibri"/>
        <family val="2"/>
        <scheme val="minor"/>
      </rPr>
      <t xml:space="preserve"> (hcf)</t>
    </r>
  </si>
  <si>
    <r>
      <rPr>
        <b/>
        <sz val="11"/>
        <color rgb="FFFF0000"/>
        <rFont val="Calibri"/>
        <family val="2"/>
        <scheme val="minor"/>
      </rPr>
      <t>4.</t>
    </r>
    <r>
      <rPr>
        <b/>
        <sz val="11"/>
        <color theme="1"/>
        <rFont val="Calibri"/>
        <family val="2"/>
        <scheme val="minor"/>
      </rPr>
      <t xml:space="preserve">  Input # of Dwelling Units</t>
    </r>
    <r>
      <rPr>
        <sz val="11"/>
        <color theme="1"/>
        <rFont val="Calibri"/>
        <family val="2"/>
        <scheme val="minor"/>
      </rPr>
      <t xml:space="preserve"> (DUs)</t>
    </r>
  </si>
  <si>
    <t>Must be 3 or more DUs</t>
  </si>
  <si>
    <t>Rounded average per DU</t>
  </si>
  <si>
    <t>0-8 HCF</t>
  </si>
  <si>
    <t>9+ HCF</t>
  </si>
  <si>
    <t>Charge per DU</t>
  </si>
  <si>
    <r>
      <rPr>
        <b/>
        <sz val="11"/>
        <color theme="1"/>
        <rFont val="Calibri"/>
        <family val="2"/>
        <scheme val="minor"/>
      </rPr>
      <t xml:space="preserve">Tier 1:   </t>
    </r>
    <r>
      <rPr>
        <sz val="11"/>
        <color theme="1"/>
        <rFont val="Calibri"/>
        <family val="2"/>
        <scheme val="minor"/>
      </rPr>
      <t>&lt;=8 hcf per DU</t>
    </r>
  </si>
  <si>
    <r>
      <rPr>
        <b/>
        <sz val="11"/>
        <color theme="1"/>
        <rFont val="Calibri"/>
        <family val="2"/>
        <scheme val="minor"/>
      </rPr>
      <t xml:space="preserve">Tier 2:  </t>
    </r>
    <r>
      <rPr>
        <sz val="11"/>
        <color theme="1"/>
        <rFont val="Calibri"/>
        <family val="2"/>
        <scheme val="minor"/>
      </rPr>
      <t xml:space="preserve"> 9+ hcf per DU</t>
    </r>
  </si>
  <si>
    <t>x # of Dwelling Units</t>
  </si>
  <si>
    <t xml:space="preserve">Total </t>
  </si>
  <si>
    <t>Total Bi-Monthly Water Charges</t>
  </si>
  <si>
    <t xml:space="preserve"> </t>
  </si>
  <si>
    <t>Strength Classifications by Business/Building Type:</t>
  </si>
  <si>
    <r>
      <rPr>
        <b/>
        <i/>
        <sz val="11"/>
        <color theme="1"/>
        <rFont val="Calibri"/>
        <family val="2"/>
        <scheme val="minor"/>
      </rPr>
      <t>Low Strength:</t>
    </r>
    <r>
      <rPr>
        <sz val="11"/>
        <color theme="1"/>
        <rFont val="Calibri"/>
        <family val="2"/>
        <scheme val="minor"/>
      </rPr>
      <t xml:space="preserve"> retail, banks, libraries, offices, schools, post offices/government buildings, halls and lodges,</t>
    </r>
  </si>
  <si>
    <t>barber/salon (hair cutting only)</t>
  </si>
  <si>
    <r>
      <rPr>
        <b/>
        <i/>
        <sz val="11"/>
        <color theme="1"/>
        <rFont val="Calibri"/>
        <family val="2"/>
        <scheme val="minor"/>
      </rPr>
      <t>Medium Strength:</t>
    </r>
    <r>
      <rPr>
        <sz val="11"/>
        <color theme="1"/>
        <rFont val="Calibri"/>
        <family val="2"/>
        <scheme val="minor"/>
      </rPr>
      <t xml:space="preserve"> hotels, mixed-use commercial, pet groomers, pools, theaters, dry cleaners,</t>
    </r>
  </si>
  <si>
    <r>
      <rPr>
        <b/>
        <sz val="11"/>
        <color rgb="FFFF0000"/>
        <rFont val="Calibri"/>
        <family val="2"/>
        <scheme val="minor"/>
      </rPr>
      <t xml:space="preserve">4. </t>
    </r>
    <r>
      <rPr>
        <b/>
        <sz val="11"/>
        <color theme="1"/>
        <rFont val="Calibri"/>
        <family val="2"/>
        <scheme val="minor"/>
      </rPr>
      <t>Wastewater Strength</t>
    </r>
  </si>
  <si>
    <t>Low Strength</t>
  </si>
  <si>
    <t>(see examples)</t>
  </si>
  <si>
    <t>car washes, repair shops, mini mart without garbage disposal or dish washer, bars/tasting rooms w/o dining</t>
  </si>
  <si>
    <r>
      <rPr>
        <b/>
        <i/>
        <sz val="11"/>
        <color theme="1"/>
        <rFont val="Calibri"/>
        <family val="2"/>
        <scheme val="minor"/>
      </rPr>
      <t>High Strength:</t>
    </r>
    <r>
      <rPr>
        <sz val="11"/>
        <color theme="1"/>
        <rFont val="Calibri"/>
        <family val="2"/>
        <scheme val="minor"/>
      </rPr>
      <t xml:space="preserve"> restaurants, grocery stores, coffee shops, bakeries, butchers, bars/tasting rooms </t>
    </r>
    <r>
      <rPr>
        <u/>
        <sz val="11"/>
        <color theme="1"/>
        <rFont val="Calibri"/>
        <family val="2"/>
        <scheme val="minor"/>
      </rPr>
      <t>with</t>
    </r>
    <r>
      <rPr>
        <sz val="11"/>
        <color theme="1"/>
        <rFont val="Calibri"/>
        <family val="2"/>
        <scheme val="minor"/>
      </rPr>
      <t xml:space="preserve"> dining, breweries, </t>
    </r>
  </si>
  <si>
    <t>8"</t>
  </si>
  <si>
    <r>
      <t xml:space="preserve">eateries, ice cream parlors, juice bars, catering, mini mart </t>
    </r>
    <r>
      <rPr>
        <u/>
        <sz val="11"/>
        <color theme="1"/>
        <rFont val="Calibri"/>
        <family val="2"/>
        <scheme val="minor"/>
      </rPr>
      <t>with</t>
    </r>
    <r>
      <rPr>
        <sz val="11"/>
        <color theme="1"/>
        <rFont val="Calibri"/>
        <family val="2"/>
        <scheme val="minor"/>
      </rPr>
      <t xml:space="preserve"> garbage disposal or dish washer</t>
    </r>
  </si>
  <si>
    <t>10"</t>
  </si>
  <si>
    <t>Medium Strength</t>
  </si>
  <si>
    <t>High Strength</t>
  </si>
  <si>
    <t>Beverly Hills</t>
  </si>
  <si>
    <t>Single</t>
  </si>
  <si>
    <t>Revenue Stabilization Factors by Customer Class</t>
  </si>
  <si>
    <t>Stage A</t>
  </si>
  <si>
    <t>Stage B</t>
  </si>
  <si>
    <t>Stage C</t>
  </si>
  <si>
    <t>Stage D</t>
  </si>
  <si>
    <t>Stage E</t>
  </si>
  <si>
    <t>Up to</t>
  </si>
  <si>
    <t>Class</t>
  </si>
  <si>
    <t>(5% Reduction)</t>
  </si>
  <si>
    <t>(10% Reduction)</t>
  </si>
  <si>
    <t>(20% Reduction)</t>
  </si>
  <si>
    <t>(30% Reduction)</t>
  </si>
  <si>
    <t>(50% Reduction)</t>
  </si>
  <si>
    <t>Multi-Family</t>
  </si>
  <si>
    <t>Irrigation</t>
  </si>
  <si>
    <t>To be applied to the non-shortage rates in effect at the time of the shortage declaration</t>
  </si>
  <si>
    <t>source: BH Fin Model_07252023.xlsx</t>
  </si>
  <si>
    <t>Required water use cutback</t>
  </si>
  <si>
    <t>Water Shortage Reductions by Customer Class</t>
  </si>
  <si>
    <r>
      <rPr>
        <b/>
        <sz val="11"/>
        <color rgb="FFFF0000"/>
        <rFont val="Calibri"/>
        <family val="2"/>
        <scheme val="minor"/>
      </rPr>
      <t>6.</t>
    </r>
    <r>
      <rPr>
        <b/>
        <sz val="11"/>
        <color theme="1"/>
        <rFont val="Calibri"/>
        <family val="2"/>
        <scheme val="minor"/>
      </rPr>
      <t xml:space="preserve"> Water Shortage Stage</t>
    </r>
  </si>
  <si>
    <t>None</t>
  </si>
  <si>
    <t>Proposed Factors</t>
  </si>
  <si>
    <t>Current Factors</t>
  </si>
  <si>
    <t>All six fields must</t>
  </si>
  <si>
    <t>If City declares a shortage</t>
  </si>
  <si>
    <t>2023: No shortage.</t>
  </si>
  <si>
    <t>Single-Family</t>
  </si>
  <si>
    <t>SAVE</t>
  </si>
  <si>
    <t>Commercial customers</t>
  </si>
  <si>
    <t>rate adjustment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</si>
</sst>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5" fillId="0" borderId="0"/>
    <xf numFmtId="0" fontId="19" fillId="0" borderId="0"/>
  </cellStyleXfs>
  <cellXfs count="26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/>
    <xf numFmtId="14" fontId="3" fillId="3" borderId="2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0" borderId="7" xfId="0" applyBorder="1"/>
    <xf numFmtId="0" fontId="0" fillId="0" borderId="8" xfId="0" applyBorder="1"/>
    <xf numFmtId="0" fontId="0" fillId="4" borderId="7" xfId="0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/>
    <xf numFmtId="0" fontId="0" fillId="4" borderId="0" xfId="0" applyFill="1"/>
    <xf numFmtId="0" fontId="0" fillId="4" borderId="8" xfId="0" applyFill="1" applyBorder="1"/>
    <xf numFmtId="0" fontId="0" fillId="0" borderId="7" xfId="0" applyBorder="1" applyAlignment="1">
      <alignment horizontal="left" indent="1"/>
    </xf>
    <xf numFmtId="7" fontId="0" fillId="0" borderId="8" xfId="0" applyNumberFormat="1" applyBorder="1"/>
    <xf numFmtId="0" fontId="3" fillId="7" borderId="7" xfId="0" applyFont="1" applyFill="1" applyBorder="1" applyAlignment="1">
      <alignment horizontal="left" indent="1"/>
    </xf>
    <xf numFmtId="0" fontId="2" fillId="0" borderId="12" xfId="0" applyFont="1" applyBorder="1" applyAlignment="1" applyProtection="1">
      <alignment horizontal="center"/>
      <protection locked="0"/>
    </xf>
    <xf numFmtId="0" fontId="0" fillId="7" borderId="0" xfId="0" applyFill="1" applyAlignment="1">
      <alignment horizontal="left" indent="2"/>
    </xf>
    <xf numFmtId="0" fontId="0" fillId="7" borderId="8" xfId="0" applyFill="1" applyBorder="1" applyAlignment="1">
      <alignment horizontal="left" indent="2"/>
    </xf>
    <xf numFmtId="0" fontId="0" fillId="4" borderId="0" xfId="0" applyFill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3" fontId="2" fillId="4" borderId="14" xfId="1" applyNumberFormat="1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0" fillId="7" borderId="8" xfId="0" applyFill="1" applyBorder="1"/>
    <xf numFmtId="3" fontId="2" fillId="4" borderId="12" xfId="1" applyNumberFormat="1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left"/>
    </xf>
    <xf numFmtId="0" fontId="7" fillId="7" borderId="15" xfId="0" applyFont="1" applyFill="1" applyBorder="1" applyAlignment="1">
      <alignment horizontal="left" indent="3"/>
    </xf>
    <xf numFmtId="0" fontId="0" fillId="7" borderId="17" xfId="0" applyFill="1" applyBorder="1"/>
    <xf numFmtId="0" fontId="0" fillId="4" borderId="0" xfId="0" applyFill="1" applyAlignment="1">
      <alignment horizontal="right"/>
    </xf>
    <xf numFmtId="0" fontId="3" fillId="4" borderId="18" xfId="0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8" xfId="0" applyFill="1" applyBorder="1" applyAlignment="1">
      <alignment horizontal="center"/>
    </xf>
    <xf numFmtId="0" fontId="3" fillId="4" borderId="18" xfId="0" applyFont="1" applyFill="1" applyBorder="1"/>
    <xf numFmtId="0" fontId="8" fillId="4" borderId="18" xfId="0" applyFont="1" applyFill="1" applyBorder="1"/>
    <xf numFmtId="0" fontId="0" fillId="4" borderId="18" xfId="0" applyFill="1" applyBorder="1"/>
    <xf numFmtId="0" fontId="9" fillId="4" borderId="0" xfId="0" applyFont="1" applyFill="1"/>
    <xf numFmtId="0" fontId="4" fillId="4" borderId="0" xfId="0" applyFont="1" applyFill="1"/>
    <xf numFmtId="0" fontId="0" fillId="0" borderId="19" xfId="0" applyBorder="1" applyAlignment="1">
      <alignment horizontal="left" indent="1"/>
    </xf>
    <xf numFmtId="164" fontId="0" fillId="0" borderId="0" xfId="0" applyNumberFormat="1"/>
    <xf numFmtId="0" fontId="0" fillId="4" borderId="0" xfId="0" applyFill="1" applyAlignment="1">
      <alignment horizontal="left" indent="2"/>
    </xf>
    <xf numFmtId="164" fontId="0" fillId="3" borderId="0" xfId="0" applyNumberFormat="1" applyFill="1"/>
    <xf numFmtId="164" fontId="0" fillId="4" borderId="0" xfId="0" applyNumberFormat="1" applyFill="1"/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right"/>
    </xf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 indent="4"/>
    </xf>
    <xf numFmtId="164" fontId="0" fillId="4" borderId="0" xfId="0" applyNumberFormat="1" applyFill="1" applyAlignment="1">
      <alignment horizontal="right" indent="4"/>
    </xf>
    <xf numFmtId="3" fontId="0" fillId="4" borderId="0" xfId="1" applyNumberFormat="1" applyFont="1" applyFill="1" applyBorder="1" applyAlignment="1">
      <alignment horizontal="right" indent="2"/>
    </xf>
    <xf numFmtId="164" fontId="0" fillId="4" borderId="0" xfId="0" applyNumberFormat="1" applyFill="1" applyAlignment="1">
      <alignment horizontal="right" indent="3"/>
    </xf>
    <xf numFmtId="3" fontId="0" fillId="4" borderId="20" xfId="1" applyNumberFormat="1" applyFont="1" applyFill="1" applyBorder="1" applyAlignment="1">
      <alignment horizontal="right" indent="2"/>
    </xf>
    <xf numFmtId="164" fontId="0" fillId="4" borderId="20" xfId="0" applyNumberFormat="1" applyFill="1" applyBorder="1"/>
    <xf numFmtId="164" fontId="0" fillId="3" borderId="21" xfId="0" applyNumberFormat="1" applyFill="1" applyBorder="1"/>
    <xf numFmtId="0" fontId="0" fillId="0" borderId="15" xfId="0" applyBorder="1" applyAlignment="1">
      <alignment horizontal="left" indent="1"/>
    </xf>
    <xf numFmtId="0" fontId="0" fillId="0" borderId="16" xfId="0" applyBorder="1"/>
    <xf numFmtId="7" fontId="0" fillId="0" borderId="16" xfId="0" applyNumberFormat="1" applyBorder="1"/>
    <xf numFmtId="7" fontId="0" fillId="5" borderId="16" xfId="0" applyNumberFormat="1" applyFill="1" applyBorder="1"/>
    <xf numFmtId="7" fontId="0" fillId="0" borderId="17" xfId="0" applyNumberFormat="1" applyBorder="1"/>
    <xf numFmtId="3" fontId="0" fillId="4" borderId="0" xfId="1" applyNumberFormat="1" applyFont="1" applyFill="1" applyAlignment="1">
      <alignment horizontal="right" indent="2"/>
    </xf>
    <xf numFmtId="14" fontId="3" fillId="2" borderId="2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/>
    <xf numFmtId="164" fontId="3" fillId="3" borderId="0" xfId="0" applyNumberFormat="1" applyFont="1" applyFill="1" applyAlignment="1">
      <alignment horizontal="right"/>
    </xf>
    <xf numFmtId="0" fontId="4" fillId="3" borderId="0" xfId="0" applyFont="1" applyFill="1"/>
    <xf numFmtId="8" fontId="0" fillId="0" borderId="0" xfId="0" applyNumberFormat="1"/>
    <xf numFmtId="8" fontId="0" fillId="0" borderId="8" xfId="0" applyNumberFormat="1" applyBorder="1"/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3" fillId="4" borderId="0" xfId="0" applyFont="1" applyFill="1"/>
    <xf numFmtId="0" fontId="8" fillId="4" borderId="0" xfId="0" applyFont="1" applyFill="1"/>
    <xf numFmtId="0" fontId="0" fillId="4" borderId="0" xfId="0" applyFill="1" applyAlignment="1">
      <alignment horizontal="left" indent="3"/>
    </xf>
    <xf numFmtId="164" fontId="0" fillId="4" borderId="0" xfId="0" applyNumberFormat="1" applyFill="1" applyAlignment="1">
      <alignment horizontal="left" indent="1"/>
    </xf>
    <xf numFmtId="164" fontId="3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left" indent="5"/>
    </xf>
    <xf numFmtId="3" fontId="0" fillId="4" borderId="0" xfId="0" applyNumberFormat="1" applyFill="1"/>
    <xf numFmtId="9" fontId="1" fillId="4" borderId="0" xfId="2" applyFont="1" applyFill="1" applyBorder="1" applyAlignment="1"/>
    <xf numFmtId="8" fontId="12" fillId="0" borderId="0" xfId="3" applyNumberFormat="1" applyFont="1" applyAlignment="1">
      <alignment vertical="center"/>
    </xf>
    <xf numFmtId="3" fontId="0" fillId="4" borderId="21" xfId="1" applyNumberFormat="1" applyFont="1" applyFill="1" applyBorder="1" applyAlignment="1"/>
    <xf numFmtId="4" fontId="0" fillId="4" borderId="0" xfId="0" applyNumberFormat="1" applyFill="1"/>
    <xf numFmtId="3" fontId="0" fillId="4" borderId="0" xfId="1" applyNumberFormat="1" applyFont="1" applyFill="1" applyBorder="1" applyAlignment="1"/>
    <xf numFmtId="0" fontId="1" fillId="0" borderId="7" xfId="0" applyFont="1" applyBorder="1" applyAlignment="1">
      <alignment horizontal="left" indent="1"/>
    </xf>
    <xf numFmtId="164" fontId="0" fillId="4" borderId="0" xfId="0" applyNumberFormat="1" applyFill="1" applyAlignment="1">
      <alignment horizontal="right"/>
    </xf>
    <xf numFmtId="8" fontId="0" fillId="0" borderId="0" xfId="0" applyNumberFormat="1" applyAlignment="1">
      <alignment horizontal="left" indent="3"/>
    </xf>
    <xf numFmtId="164" fontId="0" fillId="9" borderId="21" xfId="0" applyNumberFormat="1" applyFill="1" applyBorder="1" applyAlignment="1">
      <alignment horizontal="right"/>
    </xf>
    <xf numFmtId="0" fontId="1" fillId="0" borderId="15" xfId="0" applyFont="1" applyBorder="1" applyAlignment="1">
      <alignment horizontal="left" indent="1"/>
    </xf>
    <xf numFmtId="8" fontId="0" fillId="0" borderId="16" xfId="0" applyNumberFormat="1" applyBorder="1"/>
    <xf numFmtId="8" fontId="12" fillId="0" borderId="16" xfId="3" applyNumberFormat="1" applyFont="1" applyBorder="1" applyAlignment="1">
      <alignment vertical="center"/>
    </xf>
    <xf numFmtId="8" fontId="0" fillId="0" borderId="17" xfId="0" applyNumberFormat="1" applyBorder="1"/>
    <xf numFmtId="0" fontId="3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center"/>
    </xf>
    <xf numFmtId="164" fontId="3" fillId="9" borderId="0" xfId="0" applyNumberFormat="1" applyFont="1" applyFill="1" applyAlignment="1">
      <alignment horizontal="right"/>
    </xf>
    <xf numFmtId="0" fontId="3" fillId="9" borderId="0" xfId="0" applyFont="1" applyFill="1"/>
    <xf numFmtId="0" fontId="0" fillId="4" borderId="0" xfId="0" applyFill="1" applyAlignment="1">
      <alignment wrapText="1"/>
    </xf>
    <xf numFmtId="9" fontId="0" fillId="0" borderId="0" xfId="0" applyNumberFormat="1"/>
    <xf numFmtId="0" fontId="3" fillId="10" borderId="0" xfId="0" applyFont="1" applyFill="1"/>
    <xf numFmtId="0" fontId="3" fillId="10" borderId="0" xfId="0" applyFont="1" applyFill="1" applyAlignment="1">
      <alignment horizontal="center"/>
    </xf>
    <xf numFmtId="164" fontId="3" fillId="10" borderId="0" xfId="0" applyNumberFormat="1" applyFont="1" applyFill="1"/>
    <xf numFmtId="0" fontId="0" fillId="10" borderId="0" xfId="0" applyFill="1"/>
    <xf numFmtId="0" fontId="0" fillId="4" borderId="15" xfId="0" applyFill="1" applyBorder="1"/>
    <xf numFmtId="0" fontId="0" fillId="4" borderId="16" xfId="0" applyFill="1" applyBorder="1"/>
    <xf numFmtId="0" fontId="0" fillId="4" borderId="16" xfId="0" applyFill="1" applyBorder="1" applyAlignment="1">
      <alignment horizontal="center"/>
    </xf>
    <xf numFmtId="0" fontId="0" fillId="4" borderId="17" xfId="0" applyFill="1" applyBorder="1"/>
    <xf numFmtId="9" fontId="0" fillId="0" borderId="0" xfId="2" applyFont="1"/>
    <xf numFmtId="0" fontId="7" fillId="7" borderId="0" xfId="0" applyFont="1" applyFill="1" applyAlignment="1">
      <alignment horizontal="left" indent="1"/>
    </xf>
    <xf numFmtId="0" fontId="7" fillId="7" borderId="7" xfId="0" applyFont="1" applyFill="1" applyBorder="1" applyAlignment="1">
      <alignment horizontal="right"/>
    </xf>
    <xf numFmtId="0" fontId="0" fillId="4" borderId="0" xfId="0" applyFill="1" applyAlignment="1">
      <alignment horizontal="right" indent="1"/>
    </xf>
    <xf numFmtId="3" fontId="0" fillId="4" borderId="20" xfId="0" applyNumberFormat="1" applyFill="1" applyBorder="1"/>
    <xf numFmtId="0" fontId="0" fillId="3" borderId="0" xfId="0" applyFill="1" applyAlignment="1">
      <alignment horizontal="center"/>
    </xf>
    <xf numFmtId="164" fontId="3" fillId="3" borderId="0" xfId="0" applyNumberFormat="1" applyFont="1" applyFill="1"/>
    <xf numFmtId="164" fontId="3" fillId="4" borderId="0" xfId="0" applyNumberFormat="1" applyFont="1" applyFill="1"/>
    <xf numFmtId="3" fontId="0" fillId="4" borderId="0" xfId="1" applyNumberFormat="1" applyFont="1" applyFill="1"/>
    <xf numFmtId="3" fontId="0" fillId="4" borderId="0" xfId="1" applyNumberFormat="1" applyFont="1" applyFill="1" applyBorder="1"/>
    <xf numFmtId="9" fontId="1" fillId="4" borderId="0" xfId="2" applyFont="1" applyFill="1"/>
    <xf numFmtId="9" fontId="1" fillId="4" borderId="0" xfId="2" applyFont="1" applyFill="1" applyBorder="1"/>
    <xf numFmtId="3" fontId="0" fillId="4" borderId="21" xfId="1" applyNumberFormat="1" applyFont="1" applyFill="1" applyBorder="1"/>
    <xf numFmtId="0" fontId="0" fillId="9" borderId="0" xfId="0" applyFill="1"/>
    <xf numFmtId="0" fontId="8" fillId="4" borderId="5" xfId="0" applyFont="1" applyFill="1" applyBorder="1"/>
    <xf numFmtId="0" fontId="0" fillId="4" borderId="0" xfId="0" applyFill="1" applyAlignment="1">
      <alignment horizontal="left" indent="11"/>
    </xf>
    <xf numFmtId="0" fontId="7" fillId="7" borderId="0" xfId="0" applyFont="1" applyFill="1" applyAlignment="1">
      <alignment horizontal="left"/>
    </xf>
    <xf numFmtId="0" fontId="7" fillId="4" borderId="0" xfId="0" applyFont="1" applyFill="1" applyAlignment="1">
      <alignment horizontal="left" indent="3"/>
    </xf>
    <xf numFmtId="3" fontId="2" fillId="4" borderId="0" xfId="1" applyNumberFormat="1" applyFont="1" applyFill="1" applyBorder="1" applyAlignment="1" applyProtection="1">
      <alignment horizontal="center"/>
      <protection locked="0"/>
    </xf>
    <xf numFmtId="164" fontId="0" fillId="0" borderId="7" xfId="0" applyNumberFormat="1" applyBorder="1"/>
    <xf numFmtId="164" fontId="0" fillId="2" borderId="0" xfId="0" applyNumberFormat="1" applyFill="1"/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164" fontId="3" fillId="2" borderId="0" xfId="0" applyNumberFormat="1" applyFont="1" applyFill="1"/>
    <xf numFmtId="8" fontId="3" fillId="4" borderId="0" xfId="0" applyNumberFormat="1" applyFont="1" applyFill="1" applyAlignment="1">
      <alignment horizontal="right"/>
    </xf>
    <xf numFmtId="164" fontId="0" fillId="9" borderId="0" xfId="0" applyNumberFormat="1" applyFill="1" applyAlignment="1">
      <alignment horizontal="right"/>
    </xf>
    <xf numFmtId="8" fontId="3" fillId="4" borderId="0" xfId="0" applyNumberFormat="1" applyFont="1" applyFill="1"/>
    <xf numFmtId="3" fontId="0" fillId="4" borderId="0" xfId="0" applyNumberFormat="1" applyFill="1" applyAlignment="1">
      <alignment horizontal="right"/>
    </xf>
    <xf numFmtId="9" fontId="0" fillId="4" borderId="20" xfId="2" applyFont="1" applyFill="1" applyBorder="1" applyAlignment="1">
      <alignment horizontal="right"/>
    </xf>
    <xf numFmtId="9" fontId="0" fillId="4" borderId="20" xfId="0" applyNumberFormat="1" applyFill="1" applyBorder="1"/>
    <xf numFmtId="164" fontId="0" fillId="9" borderId="21" xfId="0" applyNumberFormat="1" applyFill="1" applyBorder="1"/>
    <xf numFmtId="164" fontId="3" fillId="9" borderId="0" xfId="0" applyNumberFormat="1" applyFont="1" applyFill="1"/>
    <xf numFmtId="166" fontId="7" fillId="7" borderId="0" xfId="0" applyNumberFormat="1" applyFont="1" applyFill="1" applyAlignment="1">
      <alignment horizontal="center"/>
    </xf>
    <xf numFmtId="165" fontId="0" fillId="4" borderId="0" xfId="1" applyNumberFormat="1" applyFont="1" applyFill="1" applyBorder="1" applyAlignment="1">
      <alignment horizontal="right" indent="2"/>
    </xf>
    <xf numFmtId="165" fontId="0" fillId="4" borderId="21" xfId="1" applyNumberFormat="1" applyFont="1" applyFill="1" applyBorder="1" applyAlignment="1">
      <alignment horizontal="right" indent="2"/>
    </xf>
    <xf numFmtId="0" fontId="14" fillId="0" borderId="0" xfId="0" applyFont="1"/>
    <xf numFmtId="1" fontId="0" fillId="4" borderId="0" xfId="0" applyNumberFormat="1" applyFill="1"/>
    <xf numFmtId="0" fontId="16" fillId="11" borderId="9" xfId="5" applyFont="1" applyFill="1" applyBorder="1" applyAlignment="1">
      <alignment horizontal="center"/>
    </xf>
    <xf numFmtId="0" fontId="16" fillId="11" borderId="10" xfId="5" applyFont="1" applyFill="1" applyBorder="1" applyAlignment="1">
      <alignment horizontal="center"/>
    </xf>
    <xf numFmtId="0" fontId="16" fillId="11" borderId="11" xfId="5" applyFont="1" applyFill="1" applyBorder="1" applyAlignment="1">
      <alignment horizontal="center"/>
    </xf>
    <xf numFmtId="0" fontId="16" fillId="11" borderId="4" xfId="5" applyFont="1" applyFill="1" applyBorder="1" applyAlignment="1">
      <alignment horizontal="center"/>
    </xf>
    <xf numFmtId="0" fontId="16" fillId="11" borderId="5" xfId="5" applyFont="1" applyFill="1" applyBorder="1" applyAlignment="1">
      <alignment horizontal="center"/>
    </xf>
    <xf numFmtId="0" fontId="16" fillId="11" borderId="23" xfId="5" applyFont="1" applyFill="1" applyBorder="1" applyAlignment="1">
      <alignment horizontal="center"/>
    </xf>
    <xf numFmtId="0" fontId="20" fillId="0" borderId="0" xfId="5" applyFont="1"/>
    <xf numFmtId="0" fontId="18" fillId="0" borderId="0" xfId="5" applyFont="1"/>
    <xf numFmtId="0" fontId="7" fillId="0" borderId="0" xfId="0" applyFont="1"/>
    <xf numFmtId="0" fontId="16" fillId="11" borderId="6" xfId="5" applyFont="1" applyFill="1" applyBorder="1" applyAlignment="1">
      <alignment horizontal="center"/>
    </xf>
    <xf numFmtId="0" fontId="17" fillId="11" borderId="27" xfId="5" applyFont="1" applyFill="1" applyBorder="1" applyAlignment="1">
      <alignment horizontal="center"/>
    </xf>
    <xf numFmtId="0" fontId="17" fillId="11" borderId="20" xfId="5" applyFont="1" applyFill="1" applyBorder="1" applyAlignment="1">
      <alignment horizontal="center"/>
    </xf>
    <xf numFmtId="0" fontId="0" fillId="11" borderId="10" xfId="0" applyFill="1" applyBorder="1"/>
    <xf numFmtId="0" fontId="0" fillId="11" borderId="22" xfId="0" applyFill="1" applyBorder="1"/>
    <xf numFmtId="0" fontId="0" fillId="11" borderId="24" xfId="0" applyFill="1" applyBorder="1"/>
    <xf numFmtId="0" fontId="18" fillId="4" borderId="7" xfId="5" applyFont="1" applyFill="1" applyBorder="1"/>
    <xf numFmtId="0" fontId="0" fillId="4" borderId="25" xfId="0" applyFill="1" applyBorder="1"/>
    <xf numFmtId="0" fontId="18" fillId="4" borderId="0" xfId="5" applyFont="1" applyFill="1"/>
    <xf numFmtId="0" fontId="18" fillId="4" borderId="8" xfId="5" applyFont="1" applyFill="1" applyBorder="1"/>
    <xf numFmtId="0" fontId="16" fillId="4" borderId="7" xfId="6" applyFont="1" applyFill="1" applyBorder="1" applyAlignment="1">
      <alignment horizontal="left"/>
    </xf>
    <xf numFmtId="167" fontId="18" fillId="4" borderId="0" xfId="5" applyNumberFormat="1" applyFont="1" applyFill="1" applyAlignment="1">
      <alignment horizontal="center"/>
    </xf>
    <xf numFmtId="167" fontId="18" fillId="4" borderId="8" xfId="5" applyNumberFormat="1" applyFont="1" applyFill="1" applyBorder="1" applyAlignment="1">
      <alignment horizontal="center"/>
    </xf>
    <xf numFmtId="167" fontId="18" fillId="4" borderId="8" xfId="5" quotePrefix="1" applyNumberFormat="1" applyFont="1" applyFill="1" applyBorder="1" applyAlignment="1">
      <alignment horizontal="center"/>
    </xf>
    <xf numFmtId="0" fontId="18" fillId="4" borderId="15" xfId="5" applyFont="1" applyFill="1" applyBorder="1"/>
    <xf numFmtId="0" fontId="0" fillId="4" borderId="26" xfId="0" applyFill="1" applyBorder="1"/>
    <xf numFmtId="0" fontId="18" fillId="4" borderId="16" xfId="5" applyFont="1" applyFill="1" applyBorder="1"/>
    <xf numFmtId="0" fontId="18" fillId="4" borderId="17" xfId="5" applyFont="1" applyFill="1" applyBorder="1"/>
    <xf numFmtId="0" fontId="3" fillId="11" borderId="4" xfId="0" applyFont="1" applyFill="1" applyBorder="1" applyAlignment="1">
      <alignment horizontal="centerContinuous"/>
    </xf>
    <xf numFmtId="0" fontId="0" fillId="11" borderId="5" xfId="0" applyFill="1" applyBorder="1" applyAlignment="1">
      <alignment horizontal="centerContinuous"/>
    </xf>
    <xf numFmtId="0" fontId="3" fillId="11" borderId="5" xfId="0" applyFont="1" applyFill="1" applyBorder="1" applyAlignment="1">
      <alignment horizontal="centerContinuous"/>
    </xf>
    <xf numFmtId="0" fontId="3" fillId="11" borderId="6" xfId="0" applyFont="1" applyFill="1" applyBorder="1" applyAlignment="1">
      <alignment horizontal="centerContinuous"/>
    </xf>
    <xf numFmtId="167" fontId="0" fillId="0" borderId="0" xfId="0" applyNumberFormat="1"/>
    <xf numFmtId="9" fontId="18" fillId="4" borderId="0" xfId="4" applyFont="1" applyFill="1" applyBorder="1" applyAlignment="1">
      <alignment horizontal="center"/>
    </xf>
    <xf numFmtId="9" fontId="0" fillId="4" borderId="25" xfId="4" applyFont="1" applyFill="1" applyBorder="1"/>
    <xf numFmtId="9" fontId="18" fillId="4" borderId="8" xfId="4" applyFont="1" applyFill="1" applyBorder="1" applyAlignment="1">
      <alignment horizontal="center"/>
    </xf>
    <xf numFmtId="9" fontId="18" fillId="4" borderId="8" xfId="4" quotePrefix="1" applyFont="1" applyFill="1" applyBorder="1" applyAlignment="1">
      <alignment horizontal="center"/>
    </xf>
    <xf numFmtId="0" fontId="7" fillId="7" borderId="7" xfId="0" applyFont="1" applyFill="1" applyBorder="1" applyAlignment="1">
      <alignment horizontal="left" indent="3"/>
    </xf>
    <xf numFmtId="0" fontId="3" fillId="0" borderId="0" xfId="0" applyFont="1"/>
    <xf numFmtId="9" fontId="1" fillId="4" borderId="0" xfId="2" applyFont="1" applyFill="1" applyBorder="1" applyAlignment="1">
      <alignment horizontal="right"/>
    </xf>
    <xf numFmtId="3" fontId="0" fillId="4" borderId="21" xfId="1" applyNumberFormat="1" applyFont="1" applyFill="1" applyBorder="1" applyAlignment="1">
      <alignment horizontal="right"/>
    </xf>
    <xf numFmtId="0" fontId="7" fillId="7" borderId="16" xfId="0" applyFont="1" applyFill="1" applyBorder="1" applyAlignment="1">
      <alignment horizontal="left"/>
    </xf>
    <xf numFmtId="7" fontId="0" fillId="0" borderId="0" xfId="0" applyNumberFormat="1"/>
    <xf numFmtId="7" fontId="0" fillId="5" borderId="0" xfId="0" applyNumberFormat="1" applyFill="1"/>
    <xf numFmtId="0" fontId="3" fillId="0" borderId="28" xfId="0" applyFont="1" applyBorder="1"/>
    <xf numFmtId="0" fontId="0" fillId="0" borderId="21" xfId="0" applyBorder="1"/>
    <xf numFmtId="7" fontId="0" fillId="0" borderId="21" xfId="0" applyNumberFormat="1" applyBorder="1"/>
    <xf numFmtId="7" fontId="0" fillId="5" borderId="21" xfId="0" applyNumberFormat="1" applyFill="1" applyBorder="1"/>
    <xf numFmtId="7" fontId="0" fillId="0" borderId="29" xfId="0" applyNumberFormat="1" applyBorder="1"/>
    <xf numFmtId="0" fontId="3" fillId="0" borderId="7" xfId="0" applyFont="1" applyBorder="1"/>
    <xf numFmtId="0" fontId="3" fillId="0" borderId="4" xfId="0" applyFont="1" applyBorder="1"/>
    <xf numFmtId="0" fontId="0" fillId="0" borderId="5" xfId="0" applyBorder="1"/>
    <xf numFmtId="7" fontId="0" fillId="0" borderId="5" xfId="0" applyNumberFormat="1" applyBorder="1"/>
    <xf numFmtId="7" fontId="0" fillId="5" borderId="5" xfId="0" applyNumberFormat="1" applyFill="1" applyBorder="1"/>
    <xf numFmtId="7" fontId="0" fillId="0" borderId="6" xfId="0" applyNumberFormat="1" applyBorder="1"/>
    <xf numFmtId="0" fontId="0" fillId="5" borderId="0" xfId="0" applyFill="1"/>
    <xf numFmtId="3" fontId="2" fillId="7" borderId="0" xfId="1" applyNumberFormat="1" applyFont="1" applyFill="1" applyBorder="1" applyAlignment="1" applyProtection="1">
      <alignment horizontal="center"/>
    </xf>
    <xf numFmtId="9" fontId="3" fillId="7" borderId="16" xfId="1" applyNumberFormat="1" applyFont="1" applyFill="1" applyBorder="1" applyAlignment="1" applyProtection="1">
      <alignment horizontal="center"/>
    </xf>
    <xf numFmtId="3" fontId="2" fillId="8" borderId="0" xfId="1" applyNumberFormat="1" applyFont="1" applyFill="1" applyBorder="1" applyAlignment="1" applyProtection="1">
      <alignment horizontal="center"/>
    </xf>
    <xf numFmtId="0" fontId="7" fillId="4" borderId="0" xfId="0" applyFont="1" applyFill="1" applyAlignment="1">
      <alignment horizontal="right"/>
    </xf>
    <xf numFmtId="14" fontId="7" fillId="4" borderId="0" xfId="0" applyNumberFormat="1" applyFont="1" applyFill="1"/>
    <xf numFmtId="0" fontId="10" fillId="4" borderId="0" xfId="0" applyFont="1" applyFill="1"/>
    <xf numFmtId="164" fontId="21" fillId="4" borderId="0" xfId="0" applyNumberFormat="1" applyFont="1" applyFill="1" applyAlignment="1">
      <alignment horizontal="left" indent="1"/>
    </xf>
    <xf numFmtId="164" fontId="0" fillId="4" borderId="0" xfId="0" applyNumberFormat="1" applyFill="1" applyAlignment="1">
      <alignment horizontal="left" indent="2"/>
    </xf>
    <xf numFmtId="0" fontId="4" fillId="4" borderId="25" xfId="0" applyFont="1" applyFill="1" applyBorder="1"/>
    <xf numFmtId="14" fontId="3" fillId="4" borderId="32" xfId="0" applyNumberFormat="1" applyFont="1" applyFill="1" applyBorder="1"/>
    <xf numFmtId="164" fontId="0" fillId="3" borderId="32" xfId="0" applyNumberFormat="1" applyFill="1" applyBorder="1"/>
    <xf numFmtId="0" fontId="0" fillId="4" borderId="32" xfId="0" applyFill="1" applyBorder="1"/>
    <xf numFmtId="0" fontId="10" fillId="4" borderId="25" xfId="0" applyFont="1" applyFill="1" applyBorder="1"/>
    <xf numFmtId="164" fontId="0" fillId="4" borderId="25" xfId="0" applyNumberFormat="1" applyFill="1" applyBorder="1"/>
    <xf numFmtId="164" fontId="0" fillId="4" borderId="32" xfId="0" applyNumberFormat="1" applyFill="1" applyBorder="1"/>
    <xf numFmtId="164" fontId="0" fillId="3" borderId="31" xfId="0" applyNumberFormat="1" applyFill="1" applyBorder="1"/>
    <xf numFmtId="164" fontId="3" fillId="3" borderId="25" xfId="0" applyNumberFormat="1" applyFont="1" applyFill="1" applyBorder="1" applyAlignment="1">
      <alignment horizontal="right"/>
    </xf>
    <xf numFmtId="164" fontId="3" fillId="3" borderId="32" xfId="0" applyNumberFormat="1" applyFont="1" applyFill="1" applyBorder="1" applyAlignment="1">
      <alignment horizontal="right"/>
    </xf>
    <xf numFmtId="1" fontId="0" fillId="4" borderId="32" xfId="0" applyNumberFormat="1" applyFill="1" applyBorder="1"/>
    <xf numFmtId="164" fontId="0" fillId="9" borderId="31" xfId="0" applyNumberFormat="1" applyFill="1" applyBorder="1"/>
    <xf numFmtId="3" fontId="0" fillId="4" borderId="32" xfId="0" applyNumberFormat="1" applyFill="1" applyBorder="1"/>
    <xf numFmtId="9" fontId="1" fillId="4" borderId="25" xfId="2" applyFont="1" applyFill="1" applyBorder="1" applyAlignment="1"/>
    <xf numFmtId="9" fontId="1" fillId="4" borderId="32" xfId="2" applyFont="1" applyFill="1" applyBorder="1" applyAlignment="1"/>
    <xf numFmtId="4" fontId="0" fillId="4" borderId="25" xfId="0" applyNumberFormat="1" applyFill="1" applyBorder="1"/>
    <xf numFmtId="3" fontId="0" fillId="4" borderId="31" xfId="1" applyNumberFormat="1" applyFont="1" applyFill="1" applyBorder="1" applyAlignment="1"/>
    <xf numFmtId="164" fontId="0" fillId="4" borderId="25" xfId="0" applyNumberFormat="1" applyFill="1" applyBorder="1" applyAlignment="1">
      <alignment horizontal="right"/>
    </xf>
    <xf numFmtId="164" fontId="0" fillId="4" borderId="32" xfId="0" applyNumberFormat="1" applyFill="1" applyBorder="1" applyAlignment="1">
      <alignment horizontal="right"/>
    </xf>
    <xf numFmtId="164" fontId="0" fillId="9" borderId="31" xfId="0" applyNumberFormat="1" applyFill="1" applyBorder="1" applyAlignment="1">
      <alignment horizontal="right"/>
    </xf>
    <xf numFmtId="0" fontId="3" fillId="9" borderId="25" xfId="0" applyFont="1" applyFill="1" applyBorder="1"/>
    <xf numFmtId="164" fontId="3" fillId="9" borderId="32" xfId="0" applyNumberFormat="1" applyFont="1" applyFill="1" applyBorder="1" applyAlignment="1">
      <alignment horizontal="right"/>
    </xf>
    <xf numFmtId="0" fontId="0" fillId="10" borderId="25" xfId="0" applyFill="1" applyBorder="1"/>
    <xf numFmtId="164" fontId="3" fillId="10" borderId="32" xfId="0" applyNumberFormat="1" applyFont="1" applyFill="1" applyBorder="1"/>
    <xf numFmtId="0" fontId="0" fillId="4" borderId="35" xfId="0" applyFill="1" applyBorder="1"/>
    <xf numFmtId="0" fontId="9" fillId="4" borderId="32" xfId="0" applyFont="1" applyFill="1" applyBorder="1"/>
    <xf numFmtId="164" fontId="0" fillId="4" borderId="25" xfId="0" applyNumberFormat="1" applyFill="1" applyBorder="1" applyAlignment="1">
      <alignment horizontal="left" indent="1"/>
    </xf>
    <xf numFmtId="0" fontId="0" fillId="4" borderId="25" xfId="0" applyFill="1" applyBorder="1" applyAlignment="1">
      <alignment horizontal="left" indent="1"/>
    </xf>
    <xf numFmtId="0" fontId="0" fillId="3" borderId="25" xfId="0" applyFill="1" applyBorder="1"/>
    <xf numFmtId="164" fontId="3" fillId="9" borderId="25" xfId="0" applyNumberFormat="1" applyFont="1" applyFill="1" applyBorder="1" applyAlignment="1">
      <alignment horizontal="right"/>
    </xf>
    <xf numFmtId="3" fontId="0" fillId="4" borderId="36" xfId="0" applyNumberFormat="1" applyFill="1" applyBorder="1"/>
    <xf numFmtId="164" fontId="3" fillId="3" borderId="32" xfId="0" applyNumberFormat="1" applyFont="1" applyFill="1" applyBorder="1"/>
    <xf numFmtId="164" fontId="3" fillId="4" borderId="32" xfId="0" applyNumberFormat="1" applyFont="1" applyFill="1" applyBorder="1"/>
    <xf numFmtId="3" fontId="0" fillId="4" borderId="25" xfId="0" applyNumberFormat="1" applyFill="1" applyBorder="1"/>
    <xf numFmtId="3" fontId="0" fillId="4" borderId="32" xfId="1" applyNumberFormat="1" applyFont="1" applyFill="1" applyBorder="1"/>
    <xf numFmtId="9" fontId="1" fillId="4" borderId="32" xfId="2" applyFont="1" applyFill="1" applyBorder="1"/>
    <xf numFmtId="3" fontId="0" fillId="4" borderId="31" xfId="1" applyNumberFormat="1" applyFont="1" applyFill="1" applyBorder="1"/>
    <xf numFmtId="0" fontId="0" fillId="9" borderId="25" xfId="0" applyFill="1" applyBorder="1"/>
    <xf numFmtId="9" fontId="1" fillId="4" borderId="25" xfId="2" applyFont="1" applyFill="1" applyBorder="1"/>
    <xf numFmtId="0" fontId="13" fillId="0" borderId="0" xfId="0" applyFont="1"/>
    <xf numFmtId="2" fontId="0" fillId="0" borderId="0" xfId="0" applyNumberFormat="1"/>
    <xf numFmtId="164" fontId="0" fillId="9" borderId="32" xfId="0" applyNumberFormat="1" applyFill="1" applyBorder="1" applyAlignment="1">
      <alignment horizontal="right"/>
    </xf>
    <xf numFmtId="9" fontId="0" fillId="4" borderId="36" xfId="0" applyNumberFormat="1" applyFill="1" applyBorder="1"/>
    <xf numFmtId="0" fontId="0" fillId="4" borderId="32" xfId="0" applyFill="1" applyBorder="1" applyAlignment="1">
      <alignment horizontal="right"/>
    </xf>
    <xf numFmtId="164" fontId="3" fillId="9" borderId="32" xfId="0" applyNumberFormat="1" applyFont="1" applyFill="1" applyBorder="1"/>
    <xf numFmtId="0" fontId="0" fillId="0" borderId="0" xfId="0" applyAlignment="1">
      <alignment horizontal="center"/>
    </xf>
    <xf numFmtId="0" fontId="3" fillId="4" borderId="18" xfId="0" applyFont="1" applyFill="1" applyBorder="1" applyAlignment="1">
      <alignment horizontal="center"/>
    </xf>
    <xf numFmtId="14" fontId="0" fillId="4" borderId="21" xfId="0" applyNumberForma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14" fontId="7" fillId="4" borderId="30" xfId="0" applyNumberFormat="1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14" fontId="7" fillId="4" borderId="31" xfId="0" applyNumberFormat="1" applyFont="1" applyFill="1" applyBorder="1" applyAlignment="1">
      <alignment horizontal="center"/>
    </xf>
    <xf numFmtId="14" fontId="7" fillId="4" borderId="21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14" fontId="0" fillId="4" borderId="30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</cellXfs>
  <cellStyles count="7">
    <cellStyle name="Comma 2 4" xfId="1" xr:uid="{0F927B10-6D9F-4360-B576-637D143FCD4C}"/>
    <cellStyle name="Normal" xfId="0" builtinId="0"/>
    <cellStyle name="Normal 2 5" xfId="6" xr:uid="{244A2C12-6B59-4943-8597-09558014F1F3}"/>
    <cellStyle name="Normal 8" xfId="5" xr:uid="{55E2A61E-B676-410C-986F-7630A0CBEB68}"/>
    <cellStyle name="Normal_Copy of Lincoln water model 1-10-06" xfId="3" xr:uid="{C0C9009C-5868-494C-A15F-2C4C80ADFB6B}"/>
    <cellStyle name="Percent" xfId="4" builtinId="5"/>
    <cellStyle name="Percent 2 2" xfId="2" xr:uid="{BB06C39C-D586-46A1-9D47-7ABC6A268ECA}"/>
  </cellStyles>
  <dxfs count="2">
    <dxf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400051</xdr:colOff>
      <xdr:row>39</xdr:row>
      <xdr:rowOff>0</xdr:rowOff>
    </xdr:from>
    <xdr:to>
      <xdr:col>23</xdr:col>
      <xdr:colOff>180976</xdr:colOff>
      <xdr:row>74</xdr:row>
      <xdr:rowOff>200024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B55999D-4F4D-1F11-D1EF-215FB776C723}"/>
            </a:ext>
          </a:extLst>
        </xdr:cNvPr>
        <xdr:cNvSpPr/>
      </xdr:nvSpPr>
      <xdr:spPr>
        <a:xfrm>
          <a:off x="8220076" y="7477125"/>
          <a:ext cx="4191000" cy="6934199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9436E-B12A-4E36-A420-522FE693B2B1}">
  <sheetPr>
    <pageSetUpPr fitToPage="1"/>
  </sheetPr>
  <dimension ref="B1:Y54"/>
  <sheetViews>
    <sheetView tabSelected="1" zoomScaleNormal="100" workbookViewId="0">
      <selection activeCell="D7" sqref="D7"/>
    </sheetView>
  </sheetViews>
  <sheetFormatPr defaultColWidth="8.85546875" defaultRowHeight="15" x14ac:dyDescent="0.25"/>
  <cols>
    <col min="1" max="1" width="3.42578125" customWidth="1"/>
    <col min="2" max="2" width="2.42578125" customWidth="1"/>
    <col min="3" max="3" width="35.28515625" customWidth="1"/>
    <col min="4" max="4" width="18" customWidth="1"/>
    <col min="5" max="5" width="10.140625" style="1" customWidth="1"/>
    <col min="6" max="6" width="13.28515625" customWidth="1"/>
    <col min="7" max="7" width="2.42578125" customWidth="1"/>
    <col min="8" max="8" width="10.42578125" customWidth="1"/>
    <col min="9" max="9" width="12.42578125" customWidth="1"/>
    <col min="10" max="10" width="20.42578125" customWidth="1"/>
    <col min="11" max="11" width="4.7109375" customWidth="1"/>
    <col min="12" max="12" width="14.42578125" customWidth="1"/>
    <col min="13" max="13" width="9.28515625" customWidth="1"/>
    <col min="14" max="14" width="12.42578125" customWidth="1"/>
    <col min="15" max="15" width="2.42578125" customWidth="1"/>
    <col min="16" max="16" width="11.42578125" customWidth="1"/>
    <col min="17" max="17" width="12.42578125" customWidth="1"/>
    <col min="18" max="18" width="9.5703125" customWidth="1"/>
    <col min="19" max="19" width="12.42578125" customWidth="1"/>
    <col min="20" max="20" width="12.28515625" customWidth="1"/>
    <col min="21" max="21" width="12.42578125" customWidth="1"/>
    <col min="22" max="22" width="2.42578125" customWidth="1"/>
  </cols>
  <sheetData>
    <row r="1" spans="2:24" ht="15.75" thickBot="1" x14ac:dyDescent="0.3">
      <c r="C1" s="185" t="s">
        <v>0</v>
      </c>
      <c r="L1" s="146"/>
    </row>
    <row r="2" spans="2:24" ht="15.75" thickBot="1" x14ac:dyDescent="0.3">
      <c r="B2" s="8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</row>
    <row r="3" spans="2:24" ht="15.75" thickBot="1" x14ac:dyDescent="0.3">
      <c r="B3" s="14"/>
      <c r="C3" s="15" t="s">
        <v>4</v>
      </c>
      <c r="D3" s="16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X3" s="189"/>
    </row>
    <row r="4" spans="2:24" x14ac:dyDescent="0.25">
      <c r="B4" s="14"/>
      <c r="C4" s="23" t="s">
        <v>6</v>
      </c>
      <c r="D4" s="24" t="s">
        <v>91</v>
      </c>
      <c r="E4" s="25" t="s">
        <v>115</v>
      </c>
      <c r="F4" s="26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X4" s="156"/>
    </row>
    <row r="5" spans="2:24" x14ac:dyDescent="0.25">
      <c r="B5" s="14"/>
      <c r="C5" s="23" t="s">
        <v>8</v>
      </c>
      <c r="D5" s="24" t="s">
        <v>90</v>
      </c>
      <c r="E5" s="25" t="s">
        <v>9</v>
      </c>
      <c r="F5" s="26"/>
      <c r="G5" s="19"/>
      <c r="H5" s="19"/>
      <c r="I5" s="19"/>
      <c r="J5" s="27"/>
      <c r="K5" s="27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</row>
    <row r="6" spans="2:24" x14ac:dyDescent="0.25">
      <c r="B6" s="14"/>
      <c r="C6" s="23" t="s">
        <v>11</v>
      </c>
      <c r="D6" s="28" t="s">
        <v>5</v>
      </c>
      <c r="E6" s="25" t="s">
        <v>12</v>
      </c>
      <c r="F6" s="26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</row>
    <row r="7" spans="2:24" x14ac:dyDescent="0.25">
      <c r="B7" s="14"/>
      <c r="C7" s="23" t="s">
        <v>14</v>
      </c>
      <c r="D7" s="29">
        <v>56</v>
      </c>
      <c r="E7" s="30"/>
      <c r="F7" s="31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</row>
    <row r="8" spans="2:24" x14ac:dyDescent="0.25">
      <c r="B8" s="14"/>
      <c r="C8" s="23" t="s">
        <v>16</v>
      </c>
      <c r="D8" s="32" t="s">
        <v>17</v>
      </c>
      <c r="E8" s="33"/>
      <c r="F8" s="3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/>
    </row>
    <row r="9" spans="2:24" x14ac:dyDescent="0.25">
      <c r="B9" s="14"/>
      <c r="C9" s="184" t="s">
        <v>19</v>
      </c>
      <c r="D9" s="203"/>
      <c r="E9" s="33"/>
      <c r="F9" s="31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2:24" x14ac:dyDescent="0.25">
      <c r="B10" s="14"/>
      <c r="C10" s="23" t="s">
        <v>111</v>
      </c>
      <c r="D10" s="32" t="s">
        <v>112</v>
      </c>
      <c r="E10" s="126" t="s">
        <v>116</v>
      </c>
      <c r="F10" s="3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</row>
    <row r="11" spans="2:24" ht="15.75" thickBot="1" x14ac:dyDescent="0.3">
      <c r="B11" s="14"/>
      <c r="C11" s="34" t="s">
        <v>109</v>
      </c>
      <c r="D11" s="204">
        <f>ROUND(INDEX('back-up'!$R$57:$R$62,MATCH('Single Family &amp; Duplexes'!$D$10,'back-up'!$P$57:$P$62,0),1),2)</f>
        <v>0</v>
      </c>
      <c r="E11" s="188" t="s">
        <v>117</v>
      </c>
      <c r="F11" s="3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</row>
    <row r="12" spans="2:24" x14ac:dyDescent="0.25">
      <c r="B12" s="14"/>
      <c r="C12" s="19"/>
      <c r="D12" s="36"/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</row>
    <row r="13" spans="2:24" x14ac:dyDescent="0.25">
      <c r="B13" s="14"/>
      <c r="C13" s="37" t="s">
        <v>21</v>
      </c>
      <c r="D13" s="38"/>
      <c r="E13" s="39"/>
      <c r="F13" s="40">
        <v>2023</v>
      </c>
      <c r="G13" s="41"/>
      <c r="H13" s="257">
        <v>2024</v>
      </c>
      <c r="I13" s="257"/>
      <c r="J13" s="40"/>
      <c r="K13" s="40"/>
      <c r="L13" s="42"/>
      <c r="M13" s="42"/>
      <c r="N13" s="40">
        <v>2025</v>
      </c>
      <c r="O13" s="40"/>
      <c r="P13" s="257">
        <v>2026</v>
      </c>
      <c r="Q13" s="257"/>
      <c r="R13" s="257">
        <v>2027</v>
      </c>
      <c r="S13" s="257"/>
      <c r="T13" s="257">
        <v>2028</v>
      </c>
      <c r="U13" s="257"/>
      <c r="V13" s="20"/>
    </row>
    <row r="14" spans="2:24" x14ac:dyDescent="0.25">
      <c r="B14" s="14"/>
      <c r="C14" s="36"/>
      <c r="D14" s="19"/>
      <c r="E14" s="206" t="s">
        <v>121</v>
      </c>
      <c r="F14" s="43"/>
      <c r="G14" s="44"/>
      <c r="H14" s="261">
        <v>45474</v>
      </c>
      <c r="I14" s="263"/>
      <c r="J14" s="43"/>
      <c r="K14" s="43"/>
      <c r="L14" s="44"/>
      <c r="M14" s="44"/>
      <c r="N14" s="207">
        <v>45658</v>
      </c>
      <c r="O14" s="44"/>
      <c r="P14" s="261">
        <v>46023</v>
      </c>
      <c r="Q14" s="263"/>
      <c r="R14" s="264">
        <v>46388</v>
      </c>
      <c r="S14" s="263"/>
      <c r="T14" s="258">
        <v>46753</v>
      </c>
      <c r="U14" s="258"/>
      <c r="V14" s="20"/>
    </row>
    <row r="15" spans="2:24" x14ac:dyDescent="0.25">
      <c r="B15" s="14"/>
      <c r="C15" s="36"/>
      <c r="D15" s="19"/>
      <c r="E15" s="27"/>
      <c r="F15" s="43"/>
      <c r="G15" s="44"/>
      <c r="H15" s="211"/>
      <c r="I15" s="212"/>
      <c r="J15" s="43"/>
      <c r="K15" s="43"/>
      <c r="L15" s="44"/>
      <c r="M15" s="44"/>
      <c r="N15" s="43"/>
      <c r="O15" s="44"/>
      <c r="P15" s="211"/>
      <c r="Q15" s="236"/>
      <c r="R15" s="44"/>
      <c r="S15" s="236"/>
      <c r="T15" s="43"/>
      <c r="U15" s="43"/>
      <c r="V15" s="20"/>
    </row>
    <row r="16" spans="2:24" x14ac:dyDescent="0.25">
      <c r="B16" s="14"/>
      <c r="C16" s="47" t="s">
        <v>24</v>
      </c>
      <c r="D16" s="27" t="str">
        <f>IF(D6="","",+$D$6 &amp;" meter")</f>
        <v>1" meter</v>
      </c>
      <c r="E16" s="27"/>
      <c r="F16" s="48">
        <f>+IF($D$4="",0,IF($D$5="",0,IF($D$6="",0,IF($D$7="",0,IF($D$8="",0,IF($D$10="",0,VLOOKUP($D$6,'back-up'!$B$5:$N$10,3,FALSE)))))))</f>
        <v>53.51</v>
      </c>
      <c r="G16" s="19"/>
      <c r="H16" s="164"/>
      <c r="I16" s="213">
        <f>+IF($D$4="",0,IF($D$5="",0,IF($D$6="",0,IF($D$7="",0,IF($D$8="",0,IF($D$10="",0,VLOOKUP($D$6,'back-up'!$B$5:$N$10,5,FALSE)))))))</f>
        <v>53.51</v>
      </c>
      <c r="J16" s="47" t="s">
        <v>24</v>
      </c>
      <c r="K16" s="47"/>
      <c r="L16" s="27" t="str">
        <f>IF(D6="","",+$D$6 &amp;" meter")</f>
        <v>1" meter</v>
      </c>
      <c r="M16" s="44"/>
      <c r="N16" s="48">
        <f>+IF($D$4="",0,IF($D$5="",0,IF($D$6="",0,IF($D$7="",0,IF($D$8="",0,IF($D$10="",0,VLOOKUP($D$6,'back-up'!$B$5:$N$10,7,FALSE)))))))</f>
        <v>58.64</v>
      </c>
      <c r="O16" s="19"/>
      <c r="P16" s="164"/>
      <c r="Q16" s="213">
        <f>+IF($D$4="",0,IF($D$5="",0,IF($D$6="",0,IF($D$7="",0,IF($D$8="",0,IF($D$10="",0,VLOOKUP($D$6,'back-up'!$B$5:$N$10,9,FALSE)))))))</f>
        <v>59.81</v>
      </c>
      <c r="R16" s="19"/>
      <c r="S16" s="213">
        <f>+IF($D$4="",0,IF($D$5="",0,IF($D$6="",0,IF($D$7="",0,IF($D$8="",0,IF($D$10="",0,VLOOKUP($D$6,'back-up'!$B$5:$N$10,11,FALSE)))))))</f>
        <v>61.01</v>
      </c>
      <c r="T16" s="49"/>
      <c r="U16" s="48">
        <f>+IF($D$4="",0,IF($D$5="",0,IF($D$6="",0,IF($D$7="",0,IF($D$8="",0,IF($D$10="",0,VLOOKUP($D$6,'back-up'!$B$5:$N$10,13,FALSE)))))))</f>
        <v>62.23</v>
      </c>
      <c r="V16" s="20"/>
    </row>
    <row r="17" spans="2:24" x14ac:dyDescent="0.25">
      <c r="B17" s="14"/>
      <c r="C17" s="47"/>
      <c r="D17" s="27"/>
      <c r="E17" s="27"/>
      <c r="F17" s="19"/>
      <c r="G17" s="19"/>
      <c r="H17" s="164"/>
      <c r="I17" s="214"/>
      <c r="J17" s="19"/>
      <c r="K17" s="19"/>
      <c r="L17" s="44"/>
      <c r="M17" s="44"/>
      <c r="N17" s="19"/>
      <c r="O17" s="19"/>
      <c r="P17" s="164"/>
      <c r="Q17" s="214"/>
      <c r="R17" s="19"/>
      <c r="S17" s="214"/>
      <c r="T17" s="19"/>
      <c r="U17" s="19"/>
      <c r="V17" s="20"/>
    </row>
    <row r="18" spans="2:24" x14ac:dyDescent="0.25">
      <c r="B18" s="14"/>
      <c r="C18" s="47" t="s">
        <v>27</v>
      </c>
      <c r="D18" s="50" t="s">
        <v>28</v>
      </c>
      <c r="E18" s="50" t="s">
        <v>29</v>
      </c>
      <c r="F18" s="51" t="s">
        <v>30</v>
      </c>
      <c r="G18" s="19"/>
      <c r="H18" s="215" t="str">
        <f>D18</f>
        <v>Rate ($/hcf)</v>
      </c>
      <c r="I18" s="214"/>
      <c r="J18" s="52" t="s">
        <v>27</v>
      </c>
      <c r="K18" s="52"/>
      <c r="L18" s="50" t="s">
        <v>28</v>
      </c>
      <c r="M18" s="50" t="s">
        <v>29</v>
      </c>
      <c r="N18" s="19"/>
      <c r="O18" s="19"/>
      <c r="P18" s="215" t="str">
        <f>D18</f>
        <v>Rate ($/hcf)</v>
      </c>
      <c r="Q18" s="214"/>
      <c r="R18" s="208" t="str">
        <f>D18</f>
        <v>Rate ($/hcf)</v>
      </c>
      <c r="S18" s="214"/>
      <c r="T18" s="208" t="str">
        <f>D18</f>
        <v>Rate ($/hcf)</v>
      </c>
      <c r="U18" s="19"/>
      <c r="V18" s="20"/>
    </row>
    <row r="19" spans="2:24" x14ac:dyDescent="0.25">
      <c r="B19" s="14"/>
      <c r="C19" s="53" t="s">
        <v>31</v>
      </c>
      <c r="D19" s="54">
        <f>IF($F$16=0,0,IF($D$5="Beverly Hills",'back-up'!D15,'back-up'!D21))</f>
        <v>3.65</v>
      </c>
      <c r="E19" s="55">
        <f>+IF($D$4="",0,IF($D$5="",0,IF($D$6="",0,IF($D$7="",0,IF($D$8="",0,IF($D$10="",0,IF($D$7&lt;27,$D$7,26)))))))</f>
        <v>26</v>
      </c>
      <c r="F19" s="49">
        <f>+E19*D19</f>
        <v>94.899999999999991</v>
      </c>
      <c r="G19" s="19"/>
      <c r="H19" s="237">
        <f>D19</f>
        <v>3.65</v>
      </c>
      <c r="I19" s="217">
        <f>+IF($I$16=0,0,ROUND(IF($D$5="Beverly Hills",'back-up'!F15*INDEX('back-up'!$R$50:$R$55,MATCH('Single Family &amp; Duplexes'!$D$10,'back-up'!$P$50:$P$55,0),1),'back-up'!F21*INDEX('back-up'!$R$50:$R$55,MATCH('Single Family &amp; Duplexes'!$D$10,'back-up'!$P$50:$P$55,0),1)),2))*$E19</f>
        <v>94.899999999999991</v>
      </c>
      <c r="J19" s="47" t="s">
        <v>32</v>
      </c>
      <c r="K19" s="47"/>
      <c r="L19" s="56">
        <f>+IF($N$16=0,0,ROUND(IF($D$5="Beverly Hills",'back-up'!H15*INDEX('back-up'!$R$50:$R$55,MATCH('Single Family &amp; Duplexes'!$D$10,'back-up'!$P$50:$P$55,0),1),'back-up'!H21*INDEX('back-up'!$R$50:$R$55,MATCH('Single Family &amp; Duplexes'!$D$10,'back-up'!$P$50:$P$55,0),1)),2))</f>
        <v>3.75</v>
      </c>
      <c r="M19" s="55">
        <f>+IF($D$4="",0,IF($D$5="",0,IF($D$6="",0,IF($D$7="",0,IF($D$8="",0,IF($D$10="",0,IF($D$7&lt;33,$D$7,32)))))))</f>
        <v>32</v>
      </c>
      <c r="N19" s="49">
        <f>+L19*M19</f>
        <v>120</v>
      </c>
      <c r="O19" s="19"/>
      <c r="P19" s="237">
        <f>+IF($Q$16=0,0,ROUND(IF($D$5="Beverly Hills",'back-up'!J15*INDEX('back-up'!$R$50:$R$55,MATCH('Single Family &amp; Duplexes'!$D$10,'back-up'!$P$50:$P$55,0),1),'back-up'!J21*INDEX('back-up'!$R$50:$R$55,MATCH('Single Family &amp; Duplexes'!$D$10,'back-up'!$P$50:$P$55,0),1)),2))</f>
        <v>3.83</v>
      </c>
      <c r="Q19" s="217">
        <f>+IF($Q$16=0,0,ROUND(IF($D$5="Beverly Hills",'back-up'!J15*INDEX('back-up'!$R$50:$R$55,MATCH('Single Family &amp; Duplexes'!$D$10,'back-up'!$P$50:$P$55,0),1),'back-up'!J21*INDEX('back-up'!$R$50:$R$55,MATCH('Single Family &amp; Duplexes'!$D$10,'back-up'!$P$50:$P$55,0),1)),2)*$M19)</f>
        <v>122.56</v>
      </c>
      <c r="R19" s="78">
        <f>+IF($S$16=0,0,ROUND(IF($D$5="Beverly Hills",'back-up'!L15*INDEX('back-up'!$R$50:$R$55,MATCH('Single Family &amp; Duplexes'!$D$10,'back-up'!$P$50:$P$55,0),1),'back-up'!L21*INDEX('back-up'!$R$50:$R$55,MATCH('Single Family &amp; Duplexes'!$D$10,'back-up'!$P$50:$P$55,0),1)),2))</f>
        <v>3.91</v>
      </c>
      <c r="S19" s="217">
        <f>+IF($S$16=0,0,ROUND(IF($D$5="Beverly Hills",'back-up'!L15*INDEX('back-up'!$R$50:$R$55,MATCH('Single Family &amp; Duplexes'!$D$10,'back-up'!$P$50:$P$55,0),1),'back-up'!L21*INDEX('back-up'!$R$50:$R$55,MATCH('Single Family &amp; Duplexes'!$D$10,'back-up'!$P$50:$P$55,0),1)),2)*$M19)</f>
        <v>125.12</v>
      </c>
      <c r="T19" s="78">
        <f>+IF($U$16=0,0,ROUND(IF($D$5="Beverly Hills",'back-up'!N15*INDEX('back-up'!$R$50:$R$55,MATCH('Single Family &amp; Duplexes'!$D$10,'back-up'!$P$50:$P$55,0),1),'back-up'!N21*INDEX('back-up'!$R$50:$R$55,MATCH('Single Family &amp; Duplexes'!$D$10,'back-up'!$P$50:$P$55,0),1)),2))</f>
        <v>3.99</v>
      </c>
      <c r="U19" s="49">
        <f>+IF($U$16=0,0,ROUND(IF($D$5="Beverly Hills",'back-up'!N15*INDEX('back-up'!$R$50:$R$55,MATCH('Single Family &amp; Duplexes'!$D$10,'back-up'!$P$50:$P$55,0),1),'back-up'!N21*INDEX('back-up'!$R$50:$R$55,MATCH('Single Family &amp; Duplexes'!$D$10,'back-up'!$P$50:$P$55,0),1)),2)*$M19)</f>
        <v>127.68</v>
      </c>
      <c r="V19" s="20"/>
    </row>
    <row r="20" spans="2:24" x14ac:dyDescent="0.25">
      <c r="B20" s="14"/>
      <c r="C20" s="53" t="s">
        <v>34</v>
      </c>
      <c r="D20" s="54">
        <f>IF($F$16=0,0,IF($D$5="Beverly Hills",'back-up'!D16,'back-up'!D22))</f>
        <v>7.12</v>
      </c>
      <c r="E20" s="55">
        <f>+IF($D$4="",0,IF($D$5="",0,IF($D$6="",0,IF($D$8="",0,IF($D$10="",0,IF($D$7&lt;49,$D$7-E19,22))))))</f>
        <v>22</v>
      </c>
      <c r="F20" s="49">
        <f>+E20*D20</f>
        <v>156.64000000000001</v>
      </c>
      <c r="G20" s="19"/>
      <c r="H20" s="237">
        <f t="shared" ref="H20:H22" si="0">D20</f>
        <v>7.12</v>
      </c>
      <c r="I20" s="217">
        <f>+IF($I$16=0,0,ROUND(IF($D$5="Beverly Hills",'back-up'!F16*INDEX('back-up'!$R$50:$R$55,MATCH('Single Family &amp; Duplexes'!$D$10,'back-up'!$P$50:$P$55,0),1),'back-up'!F22*INDEX('back-up'!$R$50:$R$55,MATCH('Single Family &amp; Duplexes'!$D$10,'back-up'!$P$50:$P$55,0),1)),2))*$E20</f>
        <v>156.64000000000001</v>
      </c>
      <c r="J20" s="47" t="s">
        <v>35</v>
      </c>
      <c r="K20" s="47"/>
      <c r="L20" s="56">
        <f>+IF($N$16=0,0,ROUND(IF($D$5="Beverly Hills",'back-up'!H16*INDEX('back-up'!$R$50:$R$55,MATCH('Single Family &amp; Duplexes'!$D$10,'back-up'!$P$50:$P$55,0),1),'back-up'!H22*INDEX('back-up'!$R$50:$R$55,MATCH('Single Family &amp; Duplexes'!$D$10,'back-up'!$P$50:$P$55,0),1)),2))</f>
        <v>6.36</v>
      </c>
      <c r="M20" s="55">
        <f>+IF($D$4="",0,IF($D$5="",0,IF($D$6="",0,IF($D$8="",0,IF($D$10="",0,IF($D$7&lt;49,$D$7-M19,16))))))</f>
        <v>16</v>
      </c>
      <c r="N20" s="49">
        <f t="shared" ref="N20:N22" si="1">+L20*M20</f>
        <v>101.76</v>
      </c>
      <c r="O20" s="19"/>
      <c r="P20" s="237">
        <f>+IF($Q$16=0,0,ROUND(IF($D$5="Beverly Hills",'back-up'!J16*INDEX('back-up'!$R$50:$R$55,MATCH('Single Family &amp; Duplexes'!$D$10,'back-up'!$P$50:$P$55,0),1),'back-up'!J22*INDEX('back-up'!$R$50:$R$55,MATCH('Single Family &amp; Duplexes'!$D$10,'back-up'!$P$50:$P$55,0),1)),2))</f>
        <v>6.49</v>
      </c>
      <c r="Q20" s="217">
        <f>+IF($Q$16=0,0,ROUND(IF($D$5="Beverly Hills",'back-up'!J16*INDEX('back-up'!$R$50:$R$55,MATCH('Single Family &amp; Duplexes'!$D$10,'back-up'!$P$50:$P$55,0),1),'back-up'!J22*INDEX('back-up'!$R$50:$R$55,MATCH('Single Family &amp; Duplexes'!$D$10,'back-up'!$P$50:$P$55,0),1)),2)*$M20)</f>
        <v>103.84</v>
      </c>
      <c r="R20" s="78">
        <f>+IF($S$16=0,0,ROUND(IF($D$5="Beverly Hills",'back-up'!L16*INDEX('back-up'!$R$50:$R$55,MATCH('Single Family &amp; Duplexes'!$D$10,'back-up'!$P$50:$P$55,0),1),'back-up'!L22*INDEX('back-up'!$R$50:$R$55,MATCH('Single Family &amp; Duplexes'!$D$10,'back-up'!$P$50:$P$55,0),1)),2))</f>
        <v>6.62</v>
      </c>
      <c r="S20" s="217">
        <f>+IF($S$16=0,0,ROUND(IF($D$5="Beverly Hills",'back-up'!L16*INDEX('back-up'!$R$50:$R$55,MATCH('Single Family &amp; Duplexes'!$D$10,'back-up'!$P$50:$P$55,0),1),'back-up'!L22*INDEX('back-up'!$R$50:$R$55,MATCH('Single Family &amp; Duplexes'!$D$10,'back-up'!$P$50:$P$55,0),1)),2)*$M20)</f>
        <v>105.92</v>
      </c>
      <c r="T20" s="78">
        <f>+IF($U$16=0,0,ROUND(IF($D$5="Beverly Hills",'back-up'!N16*INDEX('back-up'!$R$50:$R$55,MATCH('Single Family &amp; Duplexes'!$D$10,'back-up'!$P$50:$P$55,0),1),'back-up'!N22*INDEX('back-up'!$R$50:$R$55,MATCH('Single Family &amp; Duplexes'!$D$10,'back-up'!$P$50:$P$55,0),1)),2))</f>
        <v>6.75</v>
      </c>
      <c r="U20" s="49">
        <f>+IF($U$16=0,0,ROUND(IF($D$5="Beverly Hills",'back-up'!N16*INDEX('back-up'!$R$50:$R$55,MATCH('Single Family &amp; Duplexes'!$D$10,'back-up'!$P$50:$P$55,0),1),'back-up'!N22*INDEX('back-up'!$R$50:$R$55,MATCH('Single Family &amp; Duplexes'!$D$10,'back-up'!$P$50:$P$55,0),1)),2)*$M20)</f>
        <v>108</v>
      </c>
      <c r="V20" s="20"/>
    </row>
    <row r="21" spans="2:24" x14ac:dyDescent="0.25">
      <c r="B21" s="14"/>
      <c r="C21" s="53" t="s">
        <v>36</v>
      </c>
      <c r="D21" s="54">
        <f>IF($F$16=0,0,IF($D$5="Beverly Hills",'back-up'!D17,'back-up'!D23))</f>
        <v>10.48</v>
      </c>
      <c r="E21" s="55">
        <f>+IF($D$4="",0,IF($D$5="",0,IF($D$6="",0,IF($D$8="",0,IF($D$10="",0,IF($D$7&lt;86,$D$7-E20-E19,86-48))))))</f>
        <v>8</v>
      </c>
      <c r="F21" s="49">
        <f>+E21*D21</f>
        <v>83.84</v>
      </c>
      <c r="G21" s="19"/>
      <c r="H21" s="237">
        <f t="shared" si="0"/>
        <v>10.48</v>
      </c>
      <c r="I21" s="217">
        <f>+IF($I$16=0,0,ROUND(IF($D$5="Beverly Hills",'back-up'!F17*INDEX('back-up'!$R$50:$R$55,MATCH('Single Family &amp; Duplexes'!$D$10,'back-up'!$P$50:$P$55,0),1),'back-up'!F23*INDEX('back-up'!$R$50:$R$55,MATCH('Single Family &amp; Duplexes'!$D$10,'back-up'!$P$50:$P$55,0),1)),2))*$E21</f>
        <v>83.84</v>
      </c>
      <c r="J21" s="47" t="s">
        <v>37</v>
      </c>
      <c r="K21" s="47"/>
      <c r="L21" s="56">
        <f>+IF($N$16=0,0,ROUND(IF($D$5="Beverly Hills",'back-up'!H17*INDEX('back-up'!$R$50:$R$55,MATCH('Single Family &amp; Duplexes'!$D$10,'back-up'!$P$50:$P$55,0),1),'back-up'!H23*INDEX('back-up'!$R$50:$R$55,MATCH('Single Family &amp; Duplexes'!$D$10,'back-up'!$P$50:$P$55,0),1)),2))</f>
        <v>10.52</v>
      </c>
      <c r="M21" s="55">
        <f>+IF($D$4="",0,IF($D$5="",0,IF($D$6="",0,IF($D$8="",0,IF($D$10="",0,IF($D$7&lt;84,$D$7-M20-M19,83-48))))))</f>
        <v>8</v>
      </c>
      <c r="N21" s="49">
        <f t="shared" si="1"/>
        <v>84.16</v>
      </c>
      <c r="O21" s="19"/>
      <c r="P21" s="237">
        <f>+IF($Q$16=0,0,ROUND(IF($D$5="Beverly Hills",'back-up'!J17*INDEX('back-up'!$R$50:$R$55,MATCH('Single Family &amp; Duplexes'!$D$10,'back-up'!$P$50:$P$55,0),1),'back-up'!J23*INDEX('back-up'!$R$50:$R$55,MATCH('Single Family &amp; Duplexes'!$D$10,'back-up'!$P$50:$P$55,0),1)),2))</f>
        <v>10.73</v>
      </c>
      <c r="Q21" s="217">
        <f>+IF($Q$16=0,0,ROUND(IF($D$5="Beverly Hills",'back-up'!J17*INDEX('back-up'!$R$50:$R$55,MATCH('Single Family &amp; Duplexes'!$D$10,'back-up'!$P$50:$P$55,0),1),'back-up'!J23*INDEX('back-up'!$R$50:$R$55,MATCH('Single Family &amp; Duplexes'!$D$10,'back-up'!$P$50:$P$55,0),1)),2)*$M21)</f>
        <v>85.84</v>
      </c>
      <c r="R21" s="78">
        <f>+IF($S$16=0,0,ROUND(IF($D$5="Beverly Hills",'back-up'!L17*INDEX('back-up'!$R$50:$R$55,MATCH('Single Family &amp; Duplexes'!$D$10,'back-up'!$P$50:$P$55,0),1),'back-up'!L23*INDEX('back-up'!$R$50:$R$55,MATCH('Single Family &amp; Duplexes'!$D$10,'back-up'!$P$50:$P$55,0),1)),2))</f>
        <v>10.94</v>
      </c>
      <c r="S21" s="217">
        <f>+IF($S$16=0,0,ROUND(IF($D$5="Beverly Hills",'back-up'!L17*INDEX('back-up'!$R$50:$R$55,MATCH('Single Family &amp; Duplexes'!$D$10,'back-up'!$P$50:$P$55,0),1),'back-up'!L23*INDEX('back-up'!$R$50:$R$55,MATCH('Single Family &amp; Duplexes'!$D$10,'back-up'!$P$50:$P$55,0),1)),2)*$M21)</f>
        <v>87.52</v>
      </c>
      <c r="T21" s="78">
        <f>+IF($U$16=0,0,ROUND(IF($D$5="Beverly Hills",'back-up'!N17*INDEX('back-up'!$R$50:$R$55,MATCH('Single Family &amp; Duplexes'!$D$10,'back-up'!$P$50:$P$55,0),1),'back-up'!N23*INDEX('back-up'!$R$50:$R$55,MATCH('Single Family &amp; Duplexes'!$D$10,'back-up'!$P$50:$P$55,0),1)),2))</f>
        <v>11.16</v>
      </c>
      <c r="U21" s="49">
        <f>+IF($U$16=0,0,ROUND(IF($D$5="Beverly Hills",'back-up'!N17*INDEX('back-up'!$R$50:$R$55,MATCH('Single Family &amp; Duplexes'!$D$10,'back-up'!$P$50:$P$55,0),1),'back-up'!N23*INDEX('back-up'!$R$50:$R$55,MATCH('Single Family &amp; Duplexes'!$D$10,'back-up'!$P$50:$P$55,0),1)),2)*$M21)</f>
        <v>89.28</v>
      </c>
      <c r="V21" s="20"/>
    </row>
    <row r="22" spans="2:24" x14ac:dyDescent="0.25">
      <c r="B22" s="14"/>
      <c r="C22" s="53" t="s">
        <v>38</v>
      </c>
      <c r="D22" s="54">
        <f>IF($F$16=0,0,IF($D$5="Beverly Hills",'back-up'!D18,'back-up'!D24))</f>
        <v>14.87</v>
      </c>
      <c r="E22" s="57">
        <f>+IF($D$4="",0,IF($D$5="",0,IF($D$6="",0,IF($D$8="",0,IF($D$10="",0,IF($D$7&gt;86,$D$7-86,0))))))</f>
        <v>0</v>
      </c>
      <c r="F22" s="58">
        <f>+E22*D22</f>
        <v>0</v>
      </c>
      <c r="G22" s="19"/>
      <c r="H22" s="237">
        <f t="shared" si="0"/>
        <v>14.87</v>
      </c>
      <c r="I22" s="217">
        <f>+IF($I$16=0,0,ROUND(IF($D$5="Beverly Hills",'back-up'!F18*INDEX('back-up'!$R$50:$R$55,MATCH('Single Family &amp; Duplexes'!$D$10,'back-up'!$P$50:$P$55,0),1),'back-up'!F24*INDEX('back-up'!$R$50:$R$55,MATCH('Single Family &amp; Duplexes'!$D$10,'back-up'!$P$50:$P$55,0),1)),2))*$E22</f>
        <v>0</v>
      </c>
      <c r="J22" s="47" t="s">
        <v>39</v>
      </c>
      <c r="K22" s="47"/>
      <c r="L22" s="56">
        <f>+IF($N$16=0,0,ROUND(IF($D$5="Beverly Hills",'back-up'!H18*INDEX('back-up'!$R$50:$R$55,MATCH('Single Family &amp; Duplexes'!$D$10,'back-up'!$P$50:$P$55,0),1),'back-up'!H24*INDEX('back-up'!$R$50:$R$55,MATCH('Single Family &amp; Duplexes'!$D$10,'back-up'!$P$50:$P$55,0),1)),2))</f>
        <v>14.94</v>
      </c>
      <c r="M22" s="57">
        <f>+IF($D$4="",0,IF($D$5="",0,IF($D$6="",0,IF($D$8="",0,IF($D$10="",0,IF($D$7&gt;83,$D$7-83,0))))))</f>
        <v>0</v>
      </c>
      <c r="N22" s="49">
        <f t="shared" si="1"/>
        <v>0</v>
      </c>
      <c r="O22" s="19"/>
      <c r="P22" s="237">
        <f>+IF($Q$16=0,0,ROUND(IF($D$5="Beverly Hills",'back-up'!J18*INDEX('back-up'!$R$50:$R$55,MATCH('Single Family &amp; Duplexes'!$D$10,'back-up'!$P$50:$P$55,0),1),'back-up'!J24*INDEX('back-up'!$R$50:$R$55,MATCH('Single Family &amp; Duplexes'!$D$10,'back-up'!$P$50:$P$55,0),1)),2))</f>
        <v>15.24</v>
      </c>
      <c r="Q22" s="217">
        <f>+IF($Q$16=0,0,ROUND(IF($D$5="Beverly Hills",'back-up'!J18*INDEX('back-up'!$R$50:$R$55,MATCH('Single Family &amp; Duplexes'!$D$10,'back-up'!$P$50:$P$55,0),1),'back-up'!J24*INDEX('back-up'!$R$50:$R$55,MATCH('Single Family &amp; Duplexes'!$D$10,'back-up'!$P$50:$P$55,0),1)),2)*$M22)</f>
        <v>0</v>
      </c>
      <c r="R22" s="78">
        <f>+IF($S$16=0,0,ROUND(IF($D$5="Beverly Hills",'back-up'!L18*INDEX('back-up'!$R$50:$R$55,MATCH('Single Family &amp; Duplexes'!$D$10,'back-up'!$P$50:$P$55,0),1),'back-up'!L24*INDEX('back-up'!$R$50:$R$55,MATCH('Single Family &amp; Duplexes'!$D$10,'back-up'!$P$50:$P$55,0),1)),2))</f>
        <v>15.54</v>
      </c>
      <c r="S22" s="217">
        <f>+IF($S$16=0,0,ROUND(IF($D$5="Beverly Hills",'back-up'!L18*INDEX('back-up'!$R$50:$R$55,MATCH('Single Family &amp; Duplexes'!$D$10,'back-up'!$P$50:$P$55,0),1),'back-up'!L24*INDEX('back-up'!$R$50:$R$55,MATCH('Single Family &amp; Duplexes'!$D$10,'back-up'!$P$50:$P$55,0),1)),2)*$M22)</f>
        <v>0</v>
      </c>
      <c r="T22" s="78">
        <f>+IF($U$16=0,0,ROUND(IF($D$5="Beverly Hills",'back-up'!N18*INDEX('back-up'!$R$50:$R$55,MATCH('Single Family &amp; Duplexes'!$D$10,'back-up'!$P$50:$P$55,0),1),'back-up'!N24*INDEX('back-up'!$R$50:$R$55,MATCH('Single Family &amp; Duplexes'!$D$10,'back-up'!$P$50:$P$55,0),1)),2))</f>
        <v>15.85</v>
      </c>
      <c r="U22" s="49">
        <f>+IF($U$16=0,0,ROUND(IF($D$5="Beverly Hills",'back-up'!N18*INDEX('back-up'!$R$50:$R$55,MATCH('Single Family &amp; Duplexes'!$D$10,'back-up'!$P$50:$P$55,0),1),'back-up'!N24*INDEX('back-up'!$R$50:$R$55,MATCH('Single Family &amp; Duplexes'!$D$10,'back-up'!$P$50:$P$55,0),1)),2)*$M22)</f>
        <v>0</v>
      </c>
      <c r="V22" s="20"/>
    </row>
    <row r="23" spans="2:24" x14ac:dyDescent="0.25">
      <c r="B23" s="14"/>
      <c r="C23" s="19"/>
      <c r="D23" s="19"/>
      <c r="E23" s="55">
        <f>SUM(E19:E22)</f>
        <v>56</v>
      </c>
      <c r="F23" s="48">
        <f>SUM(F19:F22)</f>
        <v>335.38</v>
      </c>
      <c r="G23" s="19"/>
      <c r="H23" s="164"/>
      <c r="I23" s="218">
        <f>SUM(I19:I22)</f>
        <v>335.38</v>
      </c>
      <c r="J23" s="49"/>
      <c r="K23" s="49"/>
      <c r="L23" s="44"/>
      <c r="M23" s="55">
        <f>SUM(M19:M22)</f>
        <v>56</v>
      </c>
      <c r="N23" s="59">
        <f>SUM(N19:N22)</f>
        <v>305.91999999999996</v>
      </c>
      <c r="O23" s="19"/>
      <c r="P23" s="237"/>
      <c r="Q23" s="218">
        <f>SUM(Q19:Q22)</f>
        <v>312.24</v>
      </c>
      <c r="R23" s="19"/>
      <c r="S23" s="218">
        <f>SUM(S19:S22)</f>
        <v>318.56</v>
      </c>
      <c r="T23" s="78"/>
      <c r="U23" s="59">
        <f>SUM(U19:U22)</f>
        <v>324.96000000000004</v>
      </c>
      <c r="V23" s="20"/>
    </row>
    <row r="24" spans="2:24" x14ac:dyDescent="0.25">
      <c r="B24" s="14"/>
      <c r="C24" s="19"/>
      <c r="D24" s="19"/>
      <c r="E24" s="55"/>
      <c r="F24" s="49"/>
      <c r="G24" s="19"/>
      <c r="H24" s="164"/>
      <c r="I24" s="217"/>
      <c r="J24" s="49"/>
      <c r="K24" s="49"/>
      <c r="L24" s="44"/>
      <c r="M24" s="55"/>
      <c r="N24" s="49"/>
      <c r="O24" s="19"/>
      <c r="P24" s="238"/>
      <c r="Q24" s="217"/>
      <c r="R24" s="19"/>
      <c r="S24" s="217"/>
      <c r="T24" s="78"/>
      <c r="U24" s="49"/>
      <c r="V24" s="20"/>
    </row>
    <row r="25" spans="2:24" x14ac:dyDescent="0.25">
      <c r="B25" s="14"/>
      <c r="C25" s="47" t="s">
        <v>40</v>
      </c>
      <c r="D25" s="54">
        <f>IF($D$4="","",IF($D$8="","",IF($D$10="","",IF($D$7="","",IF($D$6="","",IF($D$5="","",IF($D$5="Beverly Hills",0.26,0.41)))))))</f>
        <v>0.26</v>
      </c>
      <c r="E25" s="65">
        <f>+$D$7</f>
        <v>56</v>
      </c>
      <c r="F25" s="48">
        <f>+IF($F$16=0,0,$D$25*$E$25)</f>
        <v>14.56</v>
      </c>
      <c r="G25" s="19"/>
      <c r="H25" s="237">
        <f>IF(D25="","",D25+0.01)</f>
        <v>0.27</v>
      </c>
      <c r="I25" s="213">
        <f>+IF($I$16=0,0,($H$25)*$E$25)</f>
        <v>15.120000000000001</v>
      </c>
      <c r="J25" s="47" t="s">
        <v>40</v>
      </c>
      <c r="K25" s="47"/>
      <c r="L25" s="209">
        <f>IF(D25="","",H25+0.01)</f>
        <v>0.28000000000000003</v>
      </c>
      <c r="M25" s="65">
        <f>+$D$7</f>
        <v>56</v>
      </c>
      <c r="N25" s="48">
        <f>+IF($N$16=0,0,($L$25)*$E$25)</f>
        <v>15.680000000000001</v>
      </c>
      <c r="O25" s="19"/>
      <c r="P25" s="237">
        <f>IF(D25="","",L25+0.01)</f>
        <v>0.29000000000000004</v>
      </c>
      <c r="Q25" s="213">
        <f>+IF($Q$16=0,0,($P$25)*$E$25)</f>
        <v>16.240000000000002</v>
      </c>
      <c r="R25" s="78">
        <f>IF(D25="","",P25+0.01)</f>
        <v>0.30000000000000004</v>
      </c>
      <c r="S25" s="213">
        <f>+IF($S$16=0,0,($R$25)*$E$25)</f>
        <v>16.800000000000004</v>
      </c>
      <c r="T25" s="78">
        <f>IF(D25="","",R25+0.01)</f>
        <v>0.31000000000000005</v>
      </c>
      <c r="U25" s="48">
        <f>+IF($U$16=0,0,($T$25)*$E$25)</f>
        <v>17.360000000000003</v>
      </c>
      <c r="V25" s="20"/>
    </row>
    <row r="26" spans="2:24" x14ac:dyDescent="0.25">
      <c r="B26" s="14"/>
      <c r="C26" s="19"/>
      <c r="D26" s="19"/>
      <c r="E26" s="27"/>
      <c r="F26" s="19"/>
      <c r="G26" s="19"/>
      <c r="H26" s="164"/>
      <c r="I26" s="214"/>
      <c r="J26" s="19"/>
      <c r="K26" s="19"/>
      <c r="L26" s="44"/>
      <c r="M26" s="44"/>
      <c r="N26" s="19"/>
      <c r="O26" s="19"/>
      <c r="P26" s="164"/>
      <c r="Q26" s="214"/>
      <c r="R26" s="19"/>
      <c r="S26" s="214"/>
      <c r="T26" s="19"/>
      <c r="U26" s="19"/>
      <c r="V26" s="20"/>
      <c r="X26" s="156"/>
    </row>
    <row r="27" spans="2:24" x14ac:dyDescent="0.25">
      <c r="B27" s="14"/>
      <c r="C27" s="67" t="s">
        <v>41</v>
      </c>
      <c r="D27" s="68"/>
      <c r="E27" s="69"/>
      <c r="F27" s="69">
        <f>+F23+F16+F25</f>
        <v>403.45</v>
      </c>
      <c r="G27" s="69"/>
      <c r="H27" s="219"/>
      <c r="I27" s="220">
        <f>+I23+I16+I25</f>
        <v>404.01</v>
      </c>
      <c r="J27" s="69"/>
      <c r="K27" s="69"/>
      <c r="L27" s="70"/>
      <c r="M27" s="70"/>
      <c r="N27" s="69">
        <f>+N23+N16+N25</f>
        <v>380.23999999999995</v>
      </c>
      <c r="O27" s="68"/>
      <c r="P27" s="239"/>
      <c r="Q27" s="220">
        <f>+Q23+Q16+Q25</f>
        <v>388.29</v>
      </c>
      <c r="R27" s="68"/>
      <c r="S27" s="220">
        <f>+S23+S16+S25</f>
        <v>396.37</v>
      </c>
      <c r="T27" s="69"/>
      <c r="U27" s="69">
        <f>+U23+U16+U25</f>
        <v>404.55000000000007</v>
      </c>
      <c r="V27" s="20"/>
    </row>
    <row r="28" spans="2:24" x14ac:dyDescent="0.25">
      <c r="B28" s="14"/>
      <c r="C28" s="19"/>
      <c r="D28" s="19"/>
      <c r="E28" s="19"/>
      <c r="F28" s="19"/>
      <c r="G28" s="19"/>
      <c r="H28" s="164"/>
      <c r="I28" s="214"/>
      <c r="J28" s="19"/>
      <c r="K28" s="19"/>
      <c r="L28" s="44"/>
      <c r="M28" s="44"/>
      <c r="N28" s="19"/>
      <c r="O28" s="19"/>
      <c r="P28" s="164"/>
      <c r="Q28" s="214"/>
      <c r="R28" s="19"/>
      <c r="S28" s="214"/>
      <c r="T28" s="19"/>
      <c r="U28" s="19"/>
      <c r="V28" s="20"/>
    </row>
    <row r="29" spans="2:24" x14ac:dyDescent="0.25">
      <c r="B29" s="14"/>
      <c r="C29" s="37" t="s">
        <v>44</v>
      </c>
      <c r="D29" s="38"/>
      <c r="E29" s="39"/>
      <c r="F29" s="40">
        <v>2023</v>
      </c>
      <c r="G29" s="41"/>
      <c r="H29" s="259">
        <v>2024</v>
      </c>
      <c r="I29" s="260"/>
      <c r="J29" s="40"/>
      <c r="K29" s="40"/>
      <c r="L29" s="42"/>
      <c r="M29" s="42"/>
      <c r="N29" s="40">
        <v>2025</v>
      </c>
      <c r="O29" s="40"/>
      <c r="P29" s="259">
        <v>2026</v>
      </c>
      <c r="Q29" s="260"/>
      <c r="R29" s="259">
        <v>2027</v>
      </c>
      <c r="S29" s="260"/>
      <c r="T29" s="259">
        <f>+T13</f>
        <v>2028</v>
      </c>
      <c r="U29" s="257"/>
      <c r="V29" s="20"/>
    </row>
    <row r="30" spans="2:24" x14ac:dyDescent="0.25">
      <c r="B30" s="14"/>
      <c r="C30" s="73"/>
      <c r="D30" s="74"/>
      <c r="E30" s="206" t="s">
        <v>121</v>
      </c>
      <c r="F30" s="75"/>
      <c r="G30" s="76"/>
      <c r="H30" s="261">
        <v>45474</v>
      </c>
      <c r="I30" s="262"/>
      <c r="J30" s="75"/>
      <c r="K30" s="75"/>
      <c r="L30" s="19"/>
      <c r="M30" s="19"/>
      <c r="N30" s="207">
        <v>45658</v>
      </c>
      <c r="O30" s="75"/>
      <c r="P30" s="261">
        <v>46023</v>
      </c>
      <c r="Q30" s="263"/>
      <c r="R30" s="264">
        <v>46388</v>
      </c>
      <c r="S30" s="263"/>
      <c r="T30" s="258">
        <v>46753</v>
      </c>
      <c r="U30" s="258"/>
      <c r="V30" s="20"/>
    </row>
    <row r="31" spans="2:24" x14ac:dyDescent="0.25">
      <c r="B31" s="14"/>
      <c r="C31" s="77" t="str">
        <f>+IF($D$5="West Hollywood", "Not Applicable; City of Beverly Hills does not provide ","Bi-monthly Service Charge per Account")</f>
        <v>Bi-monthly Service Charge per Account</v>
      </c>
      <c r="D31" s="19"/>
      <c r="E31" s="27"/>
      <c r="F31" s="49">
        <f>+IF($F$16=0,0,IF($D$5="West Hollywood","",IF($D$7="",0,IF($D$4="",0,'back-up'!D$42))))</f>
        <v>87.38</v>
      </c>
      <c r="G31" s="49"/>
      <c r="H31" s="216"/>
      <c r="I31" s="217">
        <f>+IF($I$16=0,0,IF($D$5="West Hollywood","",IF($D$7="",0,IF($D$4="",0,'back-up'!F$42))))</f>
        <v>77.92</v>
      </c>
      <c r="J31" s="52" t="str">
        <f>+IF($D$5="West Hollywood", "Not Applicable; City of Beverly Hills does ","Bi-monthly Service Charge per Account")</f>
        <v>Bi-monthly Service Charge per Account</v>
      </c>
      <c r="K31" s="52"/>
      <c r="L31" s="49"/>
      <c r="M31" s="49"/>
      <c r="N31" s="49">
        <f>+IF($N$16=0,0,IF($D$5="West Hollywood","",IF($D$7="",0,IF($D$4="",0,'back-up'!H$42))))</f>
        <v>68.459999999999994</v>
      </c>
      <c r="O31" s="49"/>
      <c r="P31" s="216"/>
      <c r="Q31" s="217">
        <f>+IF($Q$16=0,0,IF($D$5="West Hollywood","",IF($D$7="",0,IF($D$4="",0,'back-up'!J$42))))</f>
        <v>59</v>
      </c>
      <c r="R31" s="49"/>
      <c r="S31" s="217">
        <f>+IF($S$16=0,0,IF($D$5="West Hollywood","",IF($D$7="",0,IF($D$4="",0,'back-up'!L$42))))</f>
        <v>49.54</v>
      </c>
      <c r="T31" s="49"/>
      <c r="U31" s="49">
        <f>+IF($U$16=0,0,IF($D$5="West Hollywood","",IF($D$7="",0,IF($D$4="",0,'back-up'!N$42))))</f>
        <v>40.08</v>
      </c>
      <c r="V31" s="20"/>
    </row>
    <row r="32" spans="2:24" x14ac:dyDescent="0.25">
      <c r="B32" s="14"/>
      <c r="C32" s="77" t="str">
        <f>+IF($D$5="West Hollywood", "Sewer service to West Hollywood.","")</f>
        <v/>
      </c>
      <c r="D32" s="19"/>
      <c r="E32" s="36" t="str">
        <f>IF($D$5="West Hollywood","","x # of Dwelling Units")</f>
        <v>x # of Dwelling Units</v>
      </c>
      <c r="F32" s="147">
        <f>IF($D$5="west hollywood","",IF($D$4="Duplex",2,1))</f>
        <v>1</v>
      </c>
      <c r="G32" s="49"/>
      <c r="H32" s="216"/>
      <c r="I32" s="221">
        <f>+F32</f>
        <v>1</v>
      </c>
      <c r="J32" s="78" t="str">
        <f>+IF($D$5="West Hollywood", "not provide Sewer service to West Hollywood.","")</f>
        <v/>
      </c>
      <c r="K32" s="78"/>
      <c r="L32" s="49"/>
      <c r="M32" s="49"/>
      <c r="N32" s="147">
        <f>+I32</f>
        <v>1</v>
      </c>
      <c r="O32" s="49"/>
      <c r="P32" s="216"/>
      <c r="Q32" s="221">
        <f>+F32</f>
        <v>1</v>
      </c>
      <c r="R32" s="49"/>
      <c r="S32" s="221">
        <f>+F32</f>
        <v>1</v>
      </c>
      <c r="T32" s="49"/>
      <c r="U32" s="147">
        <f>+F32</f>
        <v>1</v>
      </c>
      <c r="V32" s="20"/>
    </row>
    <row r="33" spans="2:25" x14ac:dyDescent="0.25">
      <c r="B33" s="14"/>
      <c r="C33" s="77"/>
      <c r="D33" s="19"/>
      <c r="E33" s="27"/>
      <c r="F33" s="141">
        <f>+IFERROR(F31*F32,0)</f>
        <v>87.38</v>
      </c>
      <c r="G33" s="49"/>
      <c r="H33" s="216"/>
      <c r="I33" s="222">
        <f>+IFERROR(I31*I32,0)</f>
        <v>77.92</v>
      </c>
      <c r="J33" s="52"/>
      <c r="K33" s="52"/>
      <c r="L33" s="49"/>
      <c r="M33" s="49"/>
      <c r="N33" s="141">
        <f>+IFERROR(N31*N32,0)</f>
        <v>68.459999999999994</v>
      </c>
      <c r="O33" s="49"/>
      <c r="P33" s="216"/>
      <c r="Q33" s="222">
        <f>+IFERROR(Q31*Q32,0)</f>
        <v>59</v>
      </c>
      <c r="R33" s="49"/>
      <c r="S33" s="222">
        <f>+IFERROR(S31*S32,0)</f>
        <v>49.54</v>
      </c>
      <c r="T33" s="49"/>
      <c r="U33" s="141">
        <f>+IFERROR(U31*U32,0)</f>
        <v>40.08</v>
      </c>
      <c r="V33" s="20"/>
    </row>
    <row r="34" spans="2:25" x14ac:dyDescent="0.25">
      <c r="B34" s="14"/>
      <c r="D34" s="19"/>
      <c r="E34" s="27"/>
      <c r="F34" s="49"/>
      <c r="G34" s="49"/>
      <c r="H34" s="216"/>
      <c r="I34" s="217"/>
      <c r="K34" s="19"/>
      <c r="L34" s="49"/>
      <c r="M34" s="49"/>
      <c r="N34" s="49"/>
      <c r="O34" s="49"/>
      <c r="P34" s="216"/>
      <c r="Q34" s="217"/>
      <c r="R34" s="49"/>
      <c r="S34" s="217"/>
      <c r="T34" s="49"/>
      <c r="U34" s="49"/>
      <c r="V34" s="20"/>
    </row>
    <row r="35" spans="2:25" x14ac:dyDescent="0.25">
      <c r="B35" s="14"/>
      <c r="C35" s="77" t="str">
        <f>IF($D$5="West Hollywood","","Quantity Charge")</f>
        <v>Quantity Charge</v>
      </c>
      <c r="D35" s="74"/>
      <c r="E35" s="27"/>
      <c r="F35" s="79"/>
      <c r="G35" s="19"/>
      <c r="H35" s="164"/>
      <c r="I35" s="214"/>
      <c r="J35" s="52" t="str">
        <f>IF($D$5="West Hollywood","","Quantity Charge")</f>
        <v>Quantity Charge</v>
      </c>
      <c r="K35" s="52"/>
      <c r="L35" s="19"/>
      <c r="M35" s="19"/>
      <c r="N35" s="19"/>
      <c r="O35" s="19"/>
      <c r="P35" s="164"/>
      <c r="Q35" s="214"/>
      <c r="R35" s="19"/>
      <c r="S35" s="214"/>
      <c r="T35" s="19"/>
      <c r="U35" s="19"/>
      <c r="V35" s="20"/>
    </row>
    <row r="36" spans="2:25" x14ac:dyDescent="0.25">
      <c r="B36" s="14"/>
      <c r="C36" s="80" t="str">
        <f>IF($D$5="West Hollywood","","Metered Water Use (hcf)")</f>
        <v>Metered Water Use (hcf)</v>
      </c>
      <c r="D36" s="74"/>
      <c r="E36" s="27"/>
      <c r="F36" s="138" t="str">
        <f>IF($D$5="","",IF(D5="West Hollywood","",IF($D$7="","","n/a")))</f>
        <v>n/a</v>
      </c>
      <c r="G36" s="19"/>
      <c r="H36" s="164"/>
      <c r="I36" s="223">
        <f>IF($D$5="","",IF(D5="West Hollywood","",IF($D$7="","",$D$7)))</f>
        <v>56</v>
      </c>
      <c r="J36" s="77" t="str">
        <f>IF($D$5="West Hollywood","","Metered Water Use (hcf)")</f>
        <v>Metered Water Use (hcf)</v>
      </c>
      <c r="K36" s="77"/>
      <c r="L36" s="19"/>
      <c r="M36" s="19"/>
      <c r="N36" s="81">
        <f>+I36</f>
        <v>56</v>
      </c>
      <c r="O36" s="19"/>
      <c r="P36" s="164"/>
      <c r="Q36" s="223">
        <f>+I36</f>
        <v>56</v>
      </c>
      <c r="R36" s="19"/>
      <c r="S36" s="223">
        <f>+I36</f>
        <v>56</v>
      </c>
      <c r="T36" s="81"/>
      <c r="U36" s="81">
        <f>+I36</f>
        <v>56</v>
      </c>
      <c r="V36" s="20"/>
    </row>
    <row r="37" spans="2:25" x14ac:dyDescent="0.25">
      <c r="B37" s="14"/>
      <c r="C37" s="80" t="str">
        <f>IF($D$5="West Hollywood","","Return to Sewer Factor")</f>
        <v>Return to Sewer Factor</v>
      </c>
      <c r="D37" s="74"/>
      <c r="E37" s="27"/>
      <c r="F37" s="186" t="str">
        <f>IF($D$5="","",IF($D$5="West Hollywood","",IF(D7="","","n/a")))</f>
        <v>n/a</v>
      </c>
      <c r="G37" s="82"/>
      <c r="H37" s="224"/>
      <c r="I37" s="225">
        <f>IF($D$5="","",IF($D$5="West Hollywood","",IF(D7="","",IF($D$4="","",IF($D$8="yes",0.52,1)))))</f>
        <v>0.52</v>
      </c>
      <c r="J37" s="77" t="str">
        <f>IF($D$5="West Hollywood","","Return to Sewer Factor")</f>
        <v>Return to Sewer Factor</v>
      </c>
      <c r="K37" s="77"/>
      <c r="L37" s="82"/>
      <c r="M37" s="82"/>
      <c r="N37" s="82">
        <f>+I37</f>
        <v>0.52</v>
      </c>
      <c r="O37" s="82"/>
      <c r="P37" s="224"/>
      <c r="Q37" s="225">
        <f>+I37</f>
        <v>0.52</v>
      </c>
      <c r="R37" s="82"/>
      <c r="S37" s="225">
        <f>+I37</f>
        <v>0.52</v>
      </c>
      <c r="T37" s="82"/>
      <c r="U37" s="82">
        <f>+I37</f>
        <v>0.52</v>
      </c>
      <c r="V37" s="20"/>
    </row>
    <row r="38" spans="2:25" x14ac:dyDescent="0.25">
      <c r="B38" s="14"/>
      <c r="C38" s="80" t="str">
        <f>IF($D$5="West Hollywood","","Sewered Flow (hcf)")</f>
        <v>Sewered Flow (hcf)</v>
      </c>
      <c r="D38" s="74"/>
      <c r="E38" s="27"/>
      <c r="F38" s="187" t="str">
        <f>+IF($D$4="","",IF($D$5="","",IF($D$5="West Hollywood","",IF($D$7="","","n/a"))))</f>
        <v>n/a</v>
      </c>
      <c r="G38" s="85"/>
      <c r="H38" s="226"/>
      <c r="I38" s="227">
        <f>+IF($D$4="","",IF($D$5="","",IF($D$5="West Hollywood","",IF($D$7="","",IF(I36="","",ROUND(I36*I37,0))))))</f>
        <v>29</v>
      </c>
      <c r="J38" s="77" t="str">
        <f>IF($D$5="West Hollywood","","Sewered Flow (hcf)")</f>
        <v>Sewered Flow (hcf)</v>
      </c>
      <c r="K38" s="77"/>
      <c r="L38" s="85"/>
      <c r="M38" s="85"/>
      <c r="N38" s="84">
        <f>+IF($D$4="","",IF($D$5="","",IF($D$5="West Hollywood","",IF($D$7="","",IF(N36="","",ROUND(N36*N37,0))))))</f>
        <v>29</v>
      </c>
      <c r="O38" s="85"/>
      <c r="P38" s="226"/>
      <c r="Q38" s="227">
        <f>+IF($D$4="","",IF($D$5="","",IF($D$5="West Hollywood","",IF($D$7="","",IF(Q36="","",ROUND(Q36*Q37,0))))))</f>
        <v>29</v>
      </c>
      <c r="R38" s="85"/>
      <c r="S38" s="227">
        <f>+IF($D$4="","",IF($D$5="","",IF($D$5="West Hollywood","",IF($D$7="","",IF(S36="","",ROUND(S36*S37,0))))))</f>
        <v>29</v>
      </c>
      <c r="T38" s="86"/>
      <c r="U38" s="84">
        <f>+IF($D$4="","",IF($D$5="","",IF($D$5="West Hollywood","",IF($D$7="","",IF(U36="","",ROUND(U36*U37,0))))))</f>
        <v>29</v>
      </c>
      <c r="V38" s="20"/>
    </row>
    <row r="39" spans="2:25" x14ac:dyDescent="0.25">
      <c r="B39" s="14"/>
      <c r="C39" s="80" t="str">
        <f>IF($D$5="West Hollywood","","Rate per hcf")</f>
        <v>Rate per hcf</v>
      </c>
      <c r="D39" s="74"/>
      <c r="E39" s="27"/>
      <c r="F39" s="88" t="str">
        <f>IF(F38="","",'back-up'!D48)</f>
        <v>n/a</v>
      </c>
      <c r="G39" s="88"/>
      <c r="H39" s="228"/>
      <c r="I39" s="229">
        <f>IF($D$5="West Hollywood",0,IF(I16=0,0,'back-up'!F48))</f>
        <v>0.72</v>
      </c>
      <c r="J39" s="77" t="str">
        <f>IF($D$5="West Hollywood","","Rate per hcf")</f>
        <v>Rate per hcf</v>
      </c>
      <c r="K39" s="77"/>
      <c r="L39" s="88"/>
      <c r="M39" s="88"/>
      <c r="N39" s="88">
        <f>IF(D5="West Hollywood",0,IF(N16=0,0,'back-up'!H48))</f>
        <v>1.43</v>
      </c>
      <c r="O39" s="88"/>
      <c r="P39" s="228"/>
      <c r="Q39" s="229">
        <f>IF(D5="West Hollywood",0,IF(Q16=0,0,'back-up'!J48))</f>
        <v>2.15</v>
      </c>
      <c r="R39" s="88"/>
      <c r="S39" s="229">
        <f>IF(D5="West Hollywood",0,IF(S16=0,0,'back-up'!L48))</f>
        <v>2.86</v>
      </c>
      <c r="T39" s="88"/>
      <c r="U39" s="88">
        <f>IF(D5="West Hollywood",0,IF(U16=0,0,'back-up'!N48))</f>
        <v>3.58</v>
      </c>
      <c r="V39" s="20"/>
    </row>
    <row r="40" spans="2:25" x14ac:dyDescent="0.25">
      <c r="B40" s="14"/>
      <c r="C40" s="80"/>
      <c r="D40" s="74"/>
      <c r="E40" s="27"/>
      <c r="F40" s="90">
        <f>+IFERROR(IF(F38="",0,F38*F39),0)</f>
        <v>0</v>
      </c>
      <c r="G40" s="19"/>
      <c r="H40" s="164"/>
      <c r="I40" s="230">
        <f>+IFERROR(IF(I38="",0,I38*I39),0)</f>
        <v>20.88</v>
      </c>
      <c r="J40" s="88"/>
      <c r="K40" s="88"/>
      <c r="L40" s="19"/>
      <c r="M40" s="19"/>
      <c r="N40" s="90">
        <f>+IFERROR(IF(N38="",0,N38*N39),0)</f>
        <v>41.47</v>
      </c>
      <c r="O40" s="19"/>
      <c r="P40" s="164"/>
      <c r="Q40" s="230">
        <f>+IFERROR(IF(Q38="",0,Q38*Q39),0)</f>
        <v>62.349999999999994</v>
      </c>
      <c r="R40" s="19"/>
      <c r="S40" s="230">
        <f>+IFERROR(IF(S38="",0,S38*S39),0)</f>
        <v>82.94</v>
      </c>
      <c r="T40" s="88"/>
      <c r="U40" s="90">
        <f>+IFERROR(IF(U38="",0,U38*U39),0)</f>
        <v>103.82000000000001</v>
      </c>
      <c r="V40" s="20"/>
    </row>
    <row r="41" spans="2:25" x14ac:dyDescent="0.25">
      <c r="B41" s="14"/>
      <c r="C41" s="73"/>
      <c r="D41" s="74"/>
      <c r="E41" s="27"/>
      <c r="F41" s="79"/>
      <c r="G41" s="19"/>
      <c r="H41" s="164"/>
      <c r="I41" s="214"/>
      <c r="J41" s="19"/>
      <c r="K41" s="19"/>
      <c r="L41" s="19"/>
      <c r="M41" s="19"/>
      <c r="N41" s="19"/>
      <c r="O41" s="19"/>
      <c r="P41" s="164"/>
      <c r="Q41" s="214"/>
      <c r="R41" s="19"/>
      <c r="S41" s="214"/>
      <c r="T41" s="19"/>
      <c r="U41" s="19"/>
      <c r="V41" s="20"/>
    </row>
    <row r="42" spans="2:25" x14ac:dyDescent="0.25">
      <c r="B42" s="14"/>
      <c r="C42" s="95" t="s">
        <v>52</v>
      </c>
      <c r="D42" s="96"/>
      <c r="E42" s="97"/>
      <c r="F42" s="98">
        <f>IFERROR(F40+F33,0)</f>
        <v>87.38</v>
      </c>
      <c r="G42" s="99"/>
      <c r="H42" s="231"/>
      <c r="I42" s="232">
        <f>IFERROR(I40+I33,0)</f>
        <v>98.8</v>
      </c>
      <c r="J42" s="98"/>
      <c r="K42" s="98"/>
      <c r="L42" s="98"/>
      <c r="M42" s="98"/>
      <c r="N42" s="98">
        <f>IFERROR(N40+N33,0)</f>
        <v>109.92999999999999</v>
      </c>
      <c r="O42" s="98"/>
      <c r="P42" s="240"/>
      <c r="Q42" s="232">
        <f>IFERROR(Q40+Q33,0)</f>
        <v>121.35</v>
      </c>
      <c r="R42" s="98"/>
      <c r="S42" s="232">
        <f>IFERROR(S40+S33,0)</f>
        <v>132.47999999999999</v>
      </c>
      <c r="T42" s="98"/>
      <c r="U42" s="98">
        <f>IFERROR(U40+U33,0)</f>
        <v>143.9</v>
      </c>
      <c r="V42" s="20"/>
    </row>
    <row r="43" spans="2:25" x14ac:dyDescent="0.25">
      <c r="B43" s="14"/>
      <c r="C43" s="100"/>
      <c r="D43" s="100"/>
      <c r="E43" s="100"/>
      <c r="F43" s="100"/>
      <c r="G43" s="19"/>
      <c r="H43" s="164"/>
      <c r="I43" s="214"/>
      <c r="J43" s="19"/>
      <c r="K43" s="19"/>
      <c r="L43" s="19"/>
      <c r="M43" s="19"/>
      <c r="N43" s="19"/>
      <c r="O43" s="19"/>
      <c r="P43" s="164"/>
      <c r="Q43" s="214"/>
      <c r="R43" s="19"/>
      <c r="S43" s="214"/>
      <c r="T43" s="19"/>
      <c r="U43" s="19"/>
      <c r="V43" s="20"/>
    </row>
    <row r="44" spans="2:25" x14ac:dyDescent="0.25">
      <c r="B44" s="14"/>
      <c r="C44" s="102" t="s">
        <v>55</v>
      </c>
      <c r="D44" s="102"/>
      <c r="E44" s="103"/>
      <c r="F44" s="104">
        <f>+F42+F27</f>
        <v>490.83</v>
      </c>
      <c r="G44" s="105"/>
      <c r="H44" s="233"/>
      <c r="I44" s="234">
        <f>+I42+I27</f>
        <v>502.81</v>
      </c>
      <c r="J44" s="104"/>
      <c r="K44" s="104"/>
      <c r="L44" s="105"/>
      <c r="M44" s="105"/>
      <c r="N44" s="104">
        <f>+N42+N27</f>
        <v>490.16999999999996</v>
      </c>
      <c r="O44" s="105"/>
      <c r="P44" s="233"/>
      <c r="Q44" s="234">
        <f>+Q42+Q27</f>
        <v>509.64</v>
      </c>
      <c r="R44" s="105"/>
      <c r="S44" s="234">
        <f>+S42+S27</f>
        <v>528.85</v>
      </c>
      <c r="T44" s="104"/>
      <c r="U44" s="104">
        <f>+U42+U27</f>
        <v>548.45000000000005</v>
      </c>
      <c r="V44" s="20"/>
    </row>
    <row r="45" spans="2:25" ht="15.75" thickBot="1" x14ac:dyDescent="0.3">
      <c r="B45" s="106"/>
      <c r="C45" s="107"/>
      <c r="D45" s="107"/>
      <c r="E45" s="108"/>
      <c r="F45" s="107"/>
      <c r="G45" s="107"/>
      <c r="H45" s="172"/>
      <c r="I45" s="235"/>
      <c r="J45" s="107"/>
      <c r="K45" s="107"/>
      <c r="L45" s="107"/>
      <c r="M45" s="107"/>
      <c r="N45" s="107"/>
      <c r="O45" s="107"/>
      <c r="P45" s="172"/>
      <c r="Q45" s="235"/>
      <c r="R45" s="107"/>
      <c r="S45" s="235"/>
      <c r="T45" s="107"/>
      <c r="U45" s="107"/>
      <c r="V45" s="109"/>
    </row>
    <row r="46" spans="2:25" x14ac:dyDescent="0.25">
      <c r="X46" s="250"/>
      <c r="Y46" s="250"/>
    </row>
    <row r="47" spans="2:25" x14ac:dyDescent="0.25">
      <c r="W47" s="256"/>
      <c r="X47" s="256"/>
    </row>
    <row r="48" spans="2:25" x14ac:dyDescent="0.25">
      <c r="W48" s="256"/>
      <c r="X48" s="256"/>
    </row>
    <row r="49" spans="6:22" x14ac:dyDescent="0.25">
      <c r="F49" s="110"/>
    </row>
    <row r="50" spans="6:22" x14ac:dyDescent="0.25">
      <c r="I50" s="101"/>
      <c r="J50" s="101"/>
      <c r="K50" s="101"/>
      <c r="N50" s="101"/>
      <c r="Q50" s="251"/>
      <c r="R50" s="251"/>
      <c r="S50" s="251"/>
      <c r="T50" s="251"/>
      <c r="U50" s="251"/>
      <c r="V50" s="251"/>
    </row>
    <row r="51" spans="6:22" x14ac:dyDescent="0.25">
      <c r="Q51" s="251"/>
      <c r="R51" s="251"/>
      <c r="S51" s="251"/>
      <c r="T51" s="251"/>
      <c r="U51" s="251"/>
      <c r="V51" s="251"/>
    </row>
    <row r="52" spans="6:22" x14ac:dyDescent="0.25">
      <c r="Q52" s="251"/>
      <c r="R52" s="251"/>
      <c r="S52" s="251"/>
      <c r="T52" s="251"/>
      <c r="U52" s="251"/>
      <c r="V52" s="251"/>
    </row>
    <row r="53" spans="6:22" x14ac:dyDescent="0.25">
      <c r="Q53" s="251"/>
      <c r="R53" s="251"/>
      <c r="S53" s="251"/>
      <c r="T53" s="251"/>
      <c r="U53" s="251"/>
      <c r="V53" s="251"/>
    </row>
    <row r="54" spans="6:22" x14ac:dyDescent="0.25">
      <c r="Q54" s="251"/>
      <c r="R54" s="251"/>
      <c r="S54" s="251"/>
      <c r="T54" s="251"/>
      <c r="U54" s="251"/>
      <c r="V54" s="251"/>
    </row>
  </sheetData>
  <sheetProtection algorithmName="SHA-512" hashValue="i5XQ6lXCE05T3Eb0tOSTIzvHL/04DCjzDbit5U2GuWh387Q5cpTmQjKpt+nFKzZOVRC4pEn0vmSl8sj2k5U1xg==" saltValue="wtY3MF9vqSiK+rIMsn24bw==" spinCount="100000" sheet="1" selectLockedCells="1"/>
  <dataConsolidate link="1"/>
  <mergeCells count="18">
    <mergeCell ref="R13:S13"/>
    <mergeCell ref="R14:S14"/>
    <mergeCell ref="W47:X47"/>
    <mergeCell ref="W48:X48"/>
    <mergeCell ref="T13:U13"/>
    <mergeCell ref="T14:U14"/>
    <mergeCell ref="H29:I29"/>
    <mergeCell ref="H30:I30"/>
    <mergeCell ref="P29:Q29"/>
    <mergeCell ref="R29:S29"/>
    <mergeCell ref="T29:U29"/>
    <mergeCell ref="P30:Q30"/>
    <mergeCell ref="R30:S30"/>
    <mergeCell ref="T30:U30"/>
    <mergeCell ref="H13:I13"/>
    <mergeCell ref="H14:I14"/>
    <mergeCell ref="P13:Q13"/>
    <mergeCell ref="P14:Q14"/>
  </mergeCells>
  <dataValidations count="6">
    <dataValidation type="list" allowBlank="1" showErrorMessage="1" prompt="Use drop down list to enter data" sqref="D6" xr:uid="{EEF383A9-9DBF-430E-BEC1-9F7C3FC2468E}">
      <formula1>"1"", 1 1/2"", 2"", 3"", 4"", 6"""</formula1>
    </dataValidation>
    <dataValidation type="whole" allowBlank="1" showInputMessage="1" showErrorMessage="1" error="Enter whole numbers only...no decimals" sqref="D9" xr:uid="{A8A26338-1ACC-48F6-8C7F-71C72D783489}">
      <formula1>0</formula1>
      <formula2>9999</formula2>
    </dataValidation>
    <dataValidation type="list" allowBlank="1" showErrorMessage="1" prompt="Use drop down list to enter data" sqref="D5" xr:uid="{B84A189B-F5D4-4E6F-B030-03AA9D4E71DE}">
      <formula1>"Beverly Hills, West Hollywood"</formula1>
    </dataValidation>
    <dataValidation type="list" allowBlank="1" showInputMessage="1" showErrorMessage="1" sqref="D4" xr:uid="{A49B7908-13B8-4736-B775-C696BA306909}">
      <formula1>"Single, Duplex"</formula1>
    </dataValidation>
    <dataValidation type="whole" operator="greaterThanOrEqual" allowBlank="1" showInputMessage="1" showErrorMessage="1" error="Enter whole numbers only...no decimals" sqref="D7" xr:uid="{F3FAEEBF-4CC6-4C22-9FE8-567073BB1758}">
      <formula1>0</formula1>
    </dataValidation>
    <dataValidation allowBlank="1" showInputMessage="1" showErrorMessage="1" error="Enter whole numbers only...no decimals" sqref="D11" xr:uid="{6918FDD4-DA93-4338-A09C-2ED1E552724F}"/>
  </dataValidations>
  <pageMargins left="0.7" right="0.7" top="0.75" bottom="0.75" header="0.3" footer="0.3"/>
  <pageSetup scale="60" orientation="landscape" r:id="rId1"/>
  <ignoredErrors>
    <ignoredError sqref="D11" unlockedFormula="1"/>
    <ignoredError sqref="S2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A9881A-9E64-4013-8B81-7ACF69212EEB}">
          <x14:formula1>
            <xm:f>'back-up'!$P$50:$P$55</xm:f>
          </x14:formula1>
          <xm:sqref>D10</xm:sqref>
        </x14:dataValidation>
        <x14:dataValidation type="list" allowBlank="1" showInputMessage="1" showErrorMessage="1" xr:uid="{B013DCD2-0033-43C9-BD3E-55B27EBA86D5}">
          <x14:formula1>
            <xm:f>'back-up'!$T$43:$T$44</xm:f>
          </x14:formula1>
          <xm:sqref>J5:K5 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AFA7-F3F8-402F-BB4F-9FA1600903F2}">
  <sheetPr>
    <pageSetUpPr fitToPage="1"/>
  </sheetPr>
  <dimension ref="B1:W53"/>
  <sheetViews>
    <sheetView zoomScaleNormal="100" workbookViewId="0">
      <selection activeCell="D4" sqref="D4"/>
    </sheetView>
  </sheetViews>
  <sheetFormatPr defaultColWidth="9.140625" defaultRowHeight="15" x14ac:dyDescent="0.25"/>
  <cols>
    <col min="1" max="1" width="3.42578125" customWidth="1"/>
    <col min="2" max="2" width="2.140625" customWidth="1"/>
    <col min="3" max="3" width="35.140625" customWidth="1"/>
    <col min="4" max="4" width="17" customWidth="1"/>
    <col min="5" max="5" width="9.7109375" style="1" customWidth="1"/>
    <col min="6" max="6" width="13.42578125" customWidth="1"/>
    <col min="7" max="7" width="2.140625" customWidth="1"/>
    <col min="8" max="8" width="12.28515625" customWidth="1"/>
    <col min="9" max="9" width="12.42578125" customWidth="1"/>
    <col min="10" max="10" width="24.42578125" customWidth="1"/>
    <col min="11" max="11" width="14.42578125" customWidth="1"/>
    <col min="12" max="12" width="10.140625" customWidth="1"/>
    <col min="13" max="13" width="12.42578125" customWidth="1"/>
    <col min="14" max="14" width="1.85546875" customWidth="1"/>
    <col min="15" max="15" width="9.140625" customWidth="1"/>
    <col min="16" max="16" width="12.42578125" customWidth="1"/>
    <col min="17" max="17" width="8.5703125" customWidth="1"/>
    <col min="18" max="18" width="12.42578125" customWidth="1"/>
    <col min="19" max="19" width="11.140625" customWidth="1"/>
    <col min="20" max="20" width="12.42578125" customWidth="1"/>
    <col min="21" max="21" width="1.85546875" customWidth="1"/>
  </cols>
  <sheetData>
    <row r="1" spans="2:21" ht="15.75" thickBot="1" x14ac:dyDescent="0.3">
      <c r="C1" s="185" t="s">
        <v>60</v>
      </c>
      <c r="K1" s="146"/>
      <c r="P1" s="146"/>
    </row>
    <row r="2" spans="2:21" ht="15.75" thickBot="1" x14ac:dyDescent="0.3">
      <c r="B2" s="8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</row>
    <row r="3" spans="2:21" ht="15.75" thickBot="1" x14ac:dyDescent="0.3">
      <c r="B3" s="14"/>
      <c r="C3" s="15" t="s">
        <v>4</v>
      </c>
      <c r="D3" s="16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</row>
    <row r="4" spans="2:21" x14ac:dyDescent="0.25">
      <c r="B4" s="14"/>
      <c r="C4" s="23" t="s">
        <v>61</v>
      </c>
      <c r="D4" s="24" t="s">
        <v>90</v>
      </c>
      <c r="E4" s="25" t="s">
        <v>115</v>
      </c>
      <c r="F4" s="31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</row>
    <row r="5" spans="2:21" x14ac:dyDescent="0.25">
      <c r="B5" s="14"/>
      <c r="C5" s="23" t="s">
        <v>62</v>
      </c>
      <c r="D5" s="28" t="s">
        <v>7</v>
      </c>
      <c r="E5" s="25" t="s">
        <v>9</v>
      </c>
      <c r="F5" s="31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2:21" x14ac:dyDescent="0.25">
      <c r="B6" s="14"/>
      <c r="C6" s="23" t="s">
        <v>63</v>
      </c>
      <c r="D6" s="32">
        <v>47</v>
      </c>
      <c r="E6" s="25" t="s">
        <v>12</v>
      </c>
      <c r="F6" s="31"/>
      <c r="G6" s="19"/>
      <c r="H6" s="19"/>
      <c r="I6" s="19"/>
      <c r="J6" s="19"/>
      <c r="K6" s="27"/>
      <c r="L6" s="27"/>
      <c r="M6" s="19"/>
      <c r="N6" s="19"/>
      <c r="O6" s="19"/>
      <c r="P6" s="19"/>
      <c r="Q6" s="19"/>
      <c r="R6" s="19"/>
      <c r="S6" s="19"/>
      <c r="T6" s="19"/>
      <c r="U6" s="20"/>
    </row>
    <row r="7" spans="2:21" x14ac:dyDescent="0.25">
      <c r="B7" s="14"/>
      <c r="C7" s="23" t="s">
        <v>64</v>
      </c>
      <c r="D7" s="32">
        <v>10</v>
      </c>
      <c r="E7" s="126" t="s">
        <v>65</v>
      </c>
      <c r="F7" s="31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2:21" x14ac:dyDescent="0.25">
      <c r="B8" s="14"/>
      <c r="C8" s="112" t="s">
        <v>66</v>
      </c>
      <c r="D8" s="143">
        <f>+IF(D7="",0,D6/D7)</f>
        <v>4.7</v>
      </c>
      <c r="E8" s="30"/>
      <c r="F8" s="3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</row>
    <row r="9" spans="2:21" x14ac:dyDescent="0.25">
      <c r="B9" s="14"/>
      <c r="C9" s="23" t="s">
        <v>16</v>
      </c>
      <c r="D9" s="32" t="s">
        <v>17</v>
      </c>
      <c r="E9" s="33"/>
      <c r="F9" s="31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2:21" x14ac:dyDescent="0.25">
      <c r="B10" s="14"/>
      <c r="C10" s="184" t="s">
        <v>19</v>
      </c>
      <c r="D10" s="205"/>
      <c r="E10" s="33"/>
      <c r="F10" s="3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</row>
    <row r="11" spans="2:21" x14ac:dyDescent="0.25">
      <c r="B11" s="14"/>
      <c r="C11" s="23" t="s">
        <v>111</v>
      </c>
      <c r="D11" s="32" t="s">
        <v>93</v>
      </c>
      <c r="E11" s="126" t="s">
        <v>116</v>
      </c>
      <c r="F11" s="3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</row>
    <row r="12" spans="2:21" ht="15.75" thickBot="1" x14ac:dyDescent="0.3">
      <c r="B12" s="14"/>
      <c r="C12" s="34" t="s">
        <v>109</v>
      </c>
      <c r="D12" s="204">
        <f>ROUND(INDEX('back-up'!$T$57:$T$62,MATCH($D$11,'back-up'!$P$57:$P$62,0),1),2)</f>
        <v>0.03</v>
      </c>
      <c r="E12" s="188" t="s">
        <v>117</v>
      </c>
      <c r="F12" s="35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</row>
    <row r="13" spans="2:21" x14ac:dyDescent="0.25">
      <c r="B13" s="14"/>
      <c r="C13" s="19"/>
      <c r="D13" s="36"/>
      <c r="E13" s="27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2:21" x14ac:dyDescent="0.25">
      <c r="B14" s="14"/>
      <c r="C14" s="37" t="s">
        <v>21</v>
      </c>
      <c r="D14" s="38"/>
      <c r="E14" s="39"/>
      <c r="F14" s="40">
        <v>2023</v>
      </c>
      <c r="G14" s="42"/>
      <c r="H14" s="257">
        <v>2024</v>
      </c>
      <c r="I14" s="257"/>
      <c r="J14" s="40"/>
      <c r="K14" s="40"/>
      <c r="L14" s="40"/>
      <c r="M14" s="40">
        <v>2025</v>
      </c>
      <c r="N14" s="42"/>
      <c r="O14" s="257">
        <v>2026</v>
      </c>
      <c r="P14" s="257"/>
      <c r="Q14" s="257">
        <v>2027</v>
      </c>
      <c r="R14" s="257"/>
      <c r="S14" s="257">
        <v>2028</v>
      </c>
      <c r="T14" s="257"/>
      <c r="U14" s="20"/>
    </row>
    <row r="15" spans="2:21" x14ac:dyDescent="0.25">
      <c r="B15" s="14"/>
      <c r="C15" s="36"/>
      <c r="D15" s="19"/>
      <c r="E15" s="206" t="s">
        <v>121</v>
      </c>
      <c r="F15" s="76"/>
      <c r="G15" s="19"/>
      <c r="H15" s="261">
        <v>45474</v>
      </c>
      <c r="I15" s="263"/>
      <c r="J15" s="76"/>
      <c r="K15" s="76"/>
      <c r="L15" s="76"/>
      <c r="M15" s="207">
        <v>45658</v>
      </c>
      <c r="N15" s="19"/>
      <c r="O15" s="261">
        <v>46023</v>
      </c>
      <c r="P15" s="263"/>
      <c r="Q15" s="261">
        <v>46388</v>
      </c>
      <c r="R15" s="263"/>
      <c r="S15" s="261">
        <v>46753</v>
      </c>
      <c r="T15" s="265"/>
      <c r="U15" s="20"/>
    </row>
    <row r="16" spans="2:21" x14ac:dyDescent="0.25">
      <c r="B16" s="14"/>
      <c r="C16" s="47" t="s">
        <v>24</v>
      </c>
      <c r="D16" s="27" t="str">
        <f>IF($D$5="","",+$D$5 &amp;" meter")</f>
        <v>1 1/2" meter</v>
      </c>
      <c r="E16" s="27"/>
      <c r="F16" s="48">
        <f>+IF($D$4="",0,IF($D$5="",0,IF($D$6="",0,IF($D$7="",0,IF($D$9="",0,IF($D$11="",0,VLOOKUP($D$5,'back-up'!$B$5:$N$10,3,FALSE)))))))</f>
        <v>93.84</v>
      </c>
      <c r="G16" s="19"/>
      <c r="H16" s="164"/>
      <c r="I16" s="213">
        <f>+IF($D$4="",0,IF($D$5="",0,IF($D$6="",0,IF($D$7="",0,IF($D$9="",0,IF($D$11="",0,VLOOKUP($D$5,'back-up'!$B$5:$N$10,5,FALSE)))))))</f>
        <v>93.84</v>
      </c>
      <c r="J16" s="47" t="s">
        <v>24</v>
      </c>
      <c r="K16" s="27" t="str">
        <f>IF($D$5="","",+$D$5 &amp;" meter")</f>
        <v>1 1/2" meter</v>
      </c>
      <c r="L16" s="49"/>
      <c r="M16" s="48">
        <f>+IF($D$4="",0,IF($D$5="",0,IF($D$6="",0,IF($D$7="",0,IF($D$9="",0,IF($D$11="",0,VLOOKUP($D$5,'back-up'!$B$5:$N$10,7,FALSE)))))))</f>
        <v>100.69</v>
      </c>
      <c r="N16" s="19"/>
      <c r="O16" s="164"/>
      <c r="P16" s="213">
        <f>+IF($D$4="",0,IF($D$5="",0,IF($D$6="",0,IF($D$7="",0,IF($D$9="",0,IF($D$11="",0,VLOOKUP($D$5,'back-up'!$B$5:$N$10,9,FALSE)))))))</f>
        <v>102.7</v>
      </c>
      <c r="Q16" s="164"/>
      <c r="R16" s="213">
        <f>+IF($D$4="",0,IF($D$5="",0,IF($D$6="",0,IF($D$7="",0,IF($D$9="",0,IF($D$11="",0,VLOOKUP($D$5,'back-up'!$B$5:$N$10,11,FALSE)))))))</f>
        <v>104.75</v>
      </c>
      <c r="S16" s="19"/>
      <c r="T16" s="48">
        <f>+IF($D$4="",0,IF($D$5="",0,IF($D$6="",0,IF($D$7="",0,IF($D$9="",0,IF($D$11="",0,VLOOKUP($D$5,'back-up'!$B$5:$N$10,13,FALSE)))))))</f>
        <v>106.85</v>
      </c>
      <c r="U16" s="20"/>
    </row>
    <row r="17" spans="2:21" x14ac:dyDescent="0.25">
      <c r="B17" s="14"/>
      <c r="C17" s="47"/>
      <c r="D17" s="27"/>
      <c r="E17" s="27"/>
      <c r="F17" s="27"/>
      <c r="G17" s="19"/>
      <c r="H17" s="164"/>
      <c r="I17" s="214"/>
      <c r="J17" s="19"/>
      <c r="K17" s="19"/>
      <c r="L17" s="19"/>
      <c r="M17" s="19"/>
      <c r="N17" s="19"/>
      <c r="O17" s="164"/>
      <c r="P17" s="214"/>
      <c r="Q17" s="164"/>
      <c r="R17" s="214"/>
      <c r="S17" s="19"/>
      <c r="T17" s="19"/>
      <c r="U17" s="20"/>
    </row>
    <row r="18" spans="2:21" x14ac:dyDescent="0.25">
      <c r="B18" s="14"/>
      <c r="C18" s="47" t="s">
        <v>27</v>
      </c>
      <c r="D18" s="50" t="s">
        <v>28</v>
      </c>
      <c r="E18" s="50" t="s">
        <v>29</v>
      </c>
      <c r="F18" s="51" t="s">
        <v>69</v>
      </c>
      <c r="G18" s="19"/>
      <c r="H18" s="215" t="str">
        <f>D18</f>
        <v>Rate ($/hcf)</v>
      </c>
      <c r="I18" s="214"/>
      <c r="J18" s="74" t="s">
        <v>27</v>
      </c>
      <c r="K18" s="50" t="s">
        <v>28</v>
      </c>
      <c r="L18" s="50" t="s">
        <v>29</v>
      </c>
      <c r="M18" s="19"/>
      <c r="N18" s="19"/>
      <c r="O18" s="215" t="str">
        <f>D18</f>
        <v>Rate ($/hcf)</v>
      </c>
      <c r="P18" s="214"/>
      <c r="Q18" s="215" t="str">
        <f>D18</f>
        <v>Rate ($/hcf)</v>
      </c>
      <c r="R18" s="214"/>
      <c r="S18" s="208" t="str">
        <f>D18</f>
        <v>Rate ($/hcf)</v>
      </c>
      <c r="T18" s="19"/>
      <c r="U18" s="20"/>
    </row>
    <row r="19" spans="2:21" x14ac:dyDescent="0.25">
      <c r="B19" s="14"/>
      <c r="C19" s="53" t="s">
        <v>70</v>
      </c>
      <c r="D19" s="54">
        <f>+IF($F$16=0,0,IF($D$4="Beverly Hills",'back-up'!D27,'back-up'!D31))</f>
        <v>4.66</v>
      </c>
      <c r="E19" s="144">
        <f>+IF($D$4="",0,IF($D$5="",0,IF($D$6="",0,IF($D$7="",0,IF($D$8&lt;8,$D$8,8)))))</f>
        <v>4.7</v>
      </c>
      <c r="F19" s="49">
        <f>+E19*D19</f>
        <v>21.902000000000001</v>
      </c>
      <c r="G19" s="19"/>
      <c r="H19" s="237">
        <f>D19</f>
        <v>4.66</v>
      </c>
      <c r="I19" s="217">
        <f>+IF($I$16=0,0,ROUND(IF($D$4="Beverly Hills",'back-up'!F27*INDEX('back-up'!$T$50:$T$55,MATCH($D$11,'back-up'!$P$50:$P$55,0),1),'back-up'!F31*INDEX('back-up'!$T$50:$T$55,MATCH($D$11,'back-up'!$P$50:$P$55,0),1)),2)*$E19)</f>
        <v>22.324999999999999</v>
      </c>
      <c r="J19" s="47" t="s">
        <v>70</v>
      </c>
      <c r="K19" s="56">
        <f>+IF($M$16=0,0,ROUND(IF($D$4="Beverly Hills",'back-up'!H27*INDEX('back-up'!$T$50:$T$55,MATCH($D$11,'back-up'!$P$50:$P$55,0),1),'back-up'!H31*INDEX('back-up'!$T$50:$T$55,MATCH($D$11,'back-up'!$P$50:$P$55,0),1)),2))</f>
        <v>5.15</v>
      </c>
      <c r="L19" s="144">
        <f>+IF($D$4="",0,IF($D$5="",0,IF($D$6="",0,IF($D$7="",0,IF($D$8&lt;8,$D$8,8)))))</f>
        <v>4.7</v>
      </c>
      <c r="M19" s="49">
        <f>+K19*L19</f>
        <v>24.205000000000002</v>
      </c>
      <c r="N19" s="19"/>
      <c r="O19" s="237">
        <f>+IF($P$16=0,0,ROUND(IF($D$4="Beverly Hills",'back-up'!J27*INDEX('back-up'!$T$50:$T$55,MATCH($D$11,'back-up'!$P$50:$P$55,0),1),'back-up'!J31*INDEX('back-up'!$T$50:$T$55,MATCH($D$11,'back-up'!$P$50:$P$55,0),1)),2))</f>
        <v>5.26</v>
      </c>
      <c r="P19" s="217">
        <f>+IF($P$16=0,0,ROUND(IF($D$4="Beverly Hills",'back-up'!J27*INDEX('back-up'!$T$50:$T$55,MATCH($D$11,'back-up'!$P$50:$P$55,0),1),'back-up'!J31*INDEX('back-up'!$T$50:$T$55,MATCH($D$11,'back-up'!$P$50:$P$55,0),1)),2)*$L19)</f>
        <v>24.722000000000001</v>
      </c>
      <c r="Q19" s="237">
        <f>+IF($R$16=0,0,ROUND(IF($D$4="Beverly Hills",'back-up'!L27*INDEX('back-up'!$T$50:$T$55,MATCH($D$11,'back-up'!$P$50:$P$55,0),1),'back-up'!L31*INDEX('back-up'!$T$50:$T$55,MATCH($D$11,'back-up'!$P$50:$P$55,0),1)),2))</f>
        <v>5.36</v>
      </c>
      <c r="R19" s="217">
        <f>+IF($R$16=0,0,ROUND(IF($D$4="Beverly Hills",'back-up'!L27*INDEX('back-up'!$T$50:$T$55,MATCH($D$11,'back-up'!$P$50:$P$55,0),1),'back-up'!L31*INDEX('back-up'!$T$50:$T$55,MATCH($D$11,'back-up'!$P$50:$P$55,0),1)),2)*$L19)</f>
        <v>25.192000000000004</v>
      </c>
      <c r="S19" s="78">
        <f>+IF($T$16=0,0,ROUND(IF($D$4="Beverly Hills",'back-up'!N27*INDEX('back-up'!$T$50:$T$55,MATCH($D$11,'back-up'!$P$50:$P$55,0),1),'back-up'!N31*INDEX('back-up'!$T$50:$T$55,MATCH($D$11,'back-up'!$P$50:$P$55,0),1)),2))</f>
        <v>5.47</v>
      </c>
      <c r="T19" s="49">
        <f>+IF($T$16=0,0,ROUND(IF($D$4="Beverly Hills",'back-up'!N27*INDEX('back-up'!$T$50:$T$55,MATCH($D$11,'back-up'!$P$50:$P$55,0),1),'back-up'!N31*INDEX('back-up'!$T$50:$T$55,MATCH($D$11,'back-up'!$P$50:$P$55,0),1)),2)*$L19)</f>
        <v>25.709</v>
      </c>
      <c r="U19" s="20"/>
    </row>
    <row r="20" spans="2:21" x14ac:dyDescent="0.25">
      <c r="B20" s="14"/>
      <c r="C20" s="53" t="s">
        <v>71</v>
      </c>
      <c r="D20" s="54">
        <f>+IF($F$16=0,0,IF($D$4="Beverly Hills",'back-up'!D28,'back-up'!D32))</f>
        <v>13.31</v>
      </c>
      <c r="E20" s="144">
        <f>+IF($D$4="",0,IF($D$5="",0,IF($D$6="",0,IF($D$8&gt;8,$D$8-E19,0))))</f>
        <v>0</v>
      </c>
      <c r="F20" s="49">
        <f>+E20*D20</f>
        <v>0</v>
      </c>
      <c r="G20" s="19"/>
      <c r="H20" s="237">
        <f>D20</f>
        <v>13.31</v>
      </c>
      <c r="I20" s="217">
        <f>+IF($I$16=0,0,ROUND(IF($D$4="Beverly Hills",'back-up'!F28*INDEX('back-up'!$T$50:$T$55,MATCH($D$11,'back-up'!$P$50:$P$55,0),1),'back-up'!F32*INDEX('back-up'!$T$50:$T$55,MATCH($D$11,'back-up'!$P$50:$P$55,0),1)),2)*$E20)</f>
        <v>0</v>
      </c>
      <c r="J20" s="47" t="s">
        <v>71</v>
      </c>
      <c r="K20" s="56">
        <f>+IF($M$16=0,0,ROUND(IF($D$4="Beverly Hills",'back-up'!H28*INDEX('back-up'!$T$50:$T$55,MATCH($D$11,'back-up'!$P$50:$P$55,0),1),'back-up'!H32*INDEX('back-up'!$T$50:$T$55,MATCH($D$11,'back-up'!$P$50:$P$55,0),1)),2))</f>
        <v>15</v>
      </c>
      <c r="L20" s="144">
        <f>+IF($D$4="",0,IF($D$5="",0,IF($D$6="",0,IF($D$8&gt;8,$D$8-L19,0))))</f>
        <v>0</v>
      </c>
      <c r="M20" s="49">
        <f>+K20*L20</f>
        <v>0</v>
      </c>
      <c r="N20" s="19"/>
      <c r="O20" s="237">
        <f>+IF($P$16=0,0,ROUND(IF($D$4="Beverly Hills",'back-up'!J28*INDEX('back-up'!$T$50:$T$55,MATCH($D$11,'back-up'!$P$50:$P$55,0),1),'back-up'!J32*INDEX('back-up'!$T$50:$T$55,MATCH($D$11,'back-up'!$P$50:$P$55,0),1)),2))</f>
        <v>15.3</v>
      </c>
      <c r="P20" s="217">
        <f>+IF($P$16=0,0,ROUND(IF($D$4="Beverly Hills",'back-up'!J28*INDEX('back-up'!$T$50:$T$55,MATCH($D$11,'back-up'!$P$50:$P$55,0),1),'back-up'!J32*INDEX('back-up'!$T$50:$T$55,MATCH($D$11,'back-up'!$P$50:$P$55,0),1)),2)*$L20)</f>
        <v>0</v>
      </c>
      <c r="Q20" s="237">
        <f>+IF($R$16=0,0,ROUND(IF($D$4="Beverly Hills",'back-up'!L28*INDEX('back-up'!$T$50:$T$55,MATCH($D$11,'back-up'!$P$50:$P$55,0),1),'back-up'!L32*INDEX('back-up'!$T$50:$T$55,MATCH($D$11,'back-up'!$P$50:$P$55,0),1)),2))</f>
        <v>15.6</v>
      </c>
      <c r="R20" s="217">
        <f>+IF($R$16=0,0,ROUND(IF($D$4="Beverly Hills",'back-up'!L28*INDEX('back-up'!$T$50:$T$55,MATCH($D$11,'back-up'!$P$50:$P$55,0),1),'back-up'!L32*INDEX('back-up'!$T$50:$T$55,MATCH($D$11,'back-up'!$P$50:$P$55,0),1)),2)*$L20)</f>
        <v>0</v>
      </c>
      <c r="S20" s="78">
        <f>+IF($T$16=0,0,ROUND(IF($D$4="Beverly Hills",'back-up'!N28*INDEX('back-up'!$T$50:$T$55,MATCH($D$11,'back-up'!$P$50:$P$55,0),1),'back-up'!N32*INDEX('back-up'!$T$50:$T$55,MATCH($D$11,'back-up'!$P$50:$P$55,0),1)),2))</f>
        <v>15.92</v>
      </c>
      <c r="T20" s="49">
        <f>+IF($T$16=0,0,ROUND(IF($D$4="Beverly Hills",'back-up'!N28*INDEX('back-up'!$T$50:$T$55,MATCH($D$11,'back-up'!$P$50:$P$55,0),1),'back-up'!N32*INDEX('back-up'!$T$50:$T$55,MATCH($D$11,'back-up'!$P$50:$P$55,0),1)),2)*$L20)</f>
        <v>0</v>
      </c>
      <c r="U20" s="20"/>
    </row>
    <row r="21" spans="2:21" x14ac:dyDescent="0.25">
      <c r="B21" s="14"/>
      <c r="C21" s="19"/>
      <c r="D21" s="19"/>
      <c r="E21" s="145">
        <f>SUM(E19:E20)</f>
        <v>4.7</v>
      </c>
      <c r="F21" s="59">
        <f>SUM(F19:F20)</f>
        <v>21.902000000000001</v>
      </c>
      <c r="G21" s="49"/>
      <c r="H21" s="216"/>
      <c r="I21" s="218">
        <f>SUM(I19:I20)</f>
        <v>22.324999999999999</v>
      </c>
      <c r="J21" s="49"/>
      <c r="K21" s="19"/>
      <c r="L21" s="145">
        <f>SUM(L19:L20)</f>
        <v>4.7</v>
      </c>
      <c r="M21" s="59">
        <f>SUM(M19:M20)</f>
        <v>24.205000000000002</v>
      </c>
      <c r="N21" s="19"/>
      <c r="O21" s="164"/>
      <c r="P21" s="218">
        <f>SUM(P19:P20)</f>
        <v>24.722000000000001</v>
      </c>
      <c r="Q21" s="164"/>
      <c r="R21" s="218">
        <f>SUM(R19:R20)</f>
        <v>25.192000000000004</v>
      </c>
      <c r="S21" s="19"/>
      <c r="T21" s="59">
        <f>SUM(T19:T20)</f>
        <v>25.709</v>
      </c>
      <c r="U21" s="20"/>
    </row>
    <row r="22" spans="2:21" x14ac:dyDescent="0.25">
      <c r="B22" s="14"/>
      <c r="C22" s="19"/>
      <c r="D22" s="36"/>
      <c r="E22" s="113" t="s">
        <v>72</v>
      </c>
      <c r="F22" s="114">
        <f>+$D$7</f>
        <v>10</v>
      </c>
      <c r="G22" s="19"/>
      <c r="H22" s="164"/>
      <c r="I22" s="241">
        <f>+$D$7</f>
        <v>10</v>
      </c>
      <c r="J22" s="81"/>
      <c r="K22" s="36"/>
      <c r="L22" s="113" t="s">
        <v>72</v>
      </c>
      <c r="M22" s="114">
        <f>+$D$7</f>
        <v>10</v>
      </c>
      <c r="N22" s="19"/>
      <c r="O22" s="164"/>
      <c r="P22" s="241">
        <f>+$D$7</f>
        <v>10</v>
      </c>
      <c r="Q22" s="164"/>
      <c r="R22" s="241">
        <f>+$D$7</f>
        <v>10</v>
      </c>
      <c r="S22" s="19"/>
      <c r="T22" s="114">
        <f>+$D$7</f>
        <v>10</v>
      </c>
      <c r="U22" s="20"/>
    </row>
    <row r="23" spans="2:21" x14ac:dyDescent="0.25">
      <c r="B23" s="14"/>
      <c r="C23" s="77"/>
      <c r="D23" s="36"/>
      <c r="E23" s="113" t="s">
        <v>73</v>
      </c>
      <c r="F23" s="48">
        <f>+F22*F21</f>
        <v>219.02</v>
      </c>
      <c r="G23" s="49"/>
      <c r="H23" s="216"/>
      <c r="I23" s="213">
        <f>+I22*I21</f>
        <v>223.25</v>
      </c>
      <c r="J23" s="49"/>
      <c r="K23" s="36"/>
      <c r="L23" s="113" t="s">
        <v>73</v>
      </c>
      <c r="M23" s="48">
        <f>+M22*M21</f>
        <v>242.05</v>
      </c>
      <c r="N23" s="19"/>
      <c r="O23" s="164"/>
      <c r="P23" s="213">
        <f>+P22*P21</f>
        <v>247.22000000000003</v>
      </c>
      <c r="Q23" s="164"/>
      <c r="R23" s="213">
        <f>+R22*R21</f>
        <v>251.92000000000004</v>
      </c>
      <c r="S23" s="19"/>
      <c r="T23" s="48">
        <f>+T22*T21</f>
        <v>257.08999999999997</v>
      </c>
      <c r="U23" s="20"/>
    </row>
    <row r="24" spans="2:21" x14ac:dyDescent="0.25">
      <c r="B24" s="14"/>
      <c r="C24" s="77"/>
      <c r="D24" s="36"/>
      <c r="E24" s="113"/>
      <c r="F24" s="49"/>
      <c r="G24" s="49"/>
      <c r="H24" s="216"/>
      <c r="I24" s="217"/>
      <c r="J24" s="49"/>
      <c r="K24" s="49"/>
      <c r="L24" s="49"/>
      <c r="M24" s="49"/>
      <c r="N24" s="19"/>
      <c r="O24" s="164"/>
      <c r="P24" s="217"/>
      <c r="Q24" s="164"/>
      <c r="R24" s="217"/>
      <c r="S24" s="19"/>
      <c r="T24" s="49"/>
      <c r="U24" s="20"/>
    </row>
    <row r="25" spans="2:21" x14ac:dyDescent="0.25">
      <c r="B25" s="14"/>
      <c r="C25" s="47" t="s">
        <v>40</v>
      </c>
      <c r="D25" s="54">
        <f>IF($D$4="","",IF($D$9="","",IF($D$11="","",IF($D$7="","",IF($D$6="","",IF($D$5="","",IF($D$4="Beverly Hills",0.26,0.41)))))))</f>
        <v>0.26</v>
      </c>
      <c r="E25" s="65">
        <f>+D6</f>
        <v>47</v>
      </c>
      <c r="F25" s="48">
        <f>+IF(F16=0,0,D25*$D$6)</f>
        <v>12.22</v>
      </c>
      <c r="G25" s="19"/>
      <c r="H25" s="237">
        <f>IF(D25="","",D25+0.01)</f>
        <v>0.27</v>
      </c>
      <c r="I25" s="213">
        <f>+IF($I$16=0,0,($H$25)*$E$25)</f>
        <v>12.690000000000001</v>
      </c>
      <c r="J25" s="74" t="s">
        <v>40</v>
      </c>
      <c r="K25" s="210">
        <f>IF(D25="","",H25+0.01)</f>
        <v>0.28000000000000003</v>
      </c>
      <c r="L25" s="65">
        <f>+D6</f>
        <v>47</v>
      </c>
      <c r="M25" s="48">
        <f>+IF($M$16=0,0,($K$25)*$E$25)</f>
        <v>13.160000000000002</v>
      </c>
      <c r="N25" s="19"/>
      <c r="O25" s="237">
        <f>IF(D25="","",K25+0.01)</f>
        <v>0.29000000000000004</v>
      </c>
      <c r="P25" s="213">
        <f>+IF($P$16=0,0,($O$25)*$E$25)</f>
        <v>13.630000000000003</v>
      </c>
      <c r="Q25" s="237">
        <f>IF(D25="","",O25+0.01)</f>
        <v>0.30000000000000004</v>
      </c>
      <c r="R25" s="213">
        <f>+IF($R$16=0,0,($Q$25)*$E$25)</f>
        <v>14.100000000000001</v>
      </c>
      <c r="S25" s="78">
        <f>IF(D25="","",Q25+0.01)</f>
        <v>0.31000000000000005</v>
      </c>
      <c r="T25" s="48">
        <f>+IF($T$16=0,0,($S$25)*$E$25)</f>
        <v>14.570000000000002</v>
      </c>
      <c r="U25" s="20"/>
    </row>
    <row r="26" spans="2:21" x14ac:dyDescent="0.25">
      <c r="B26" s="14"/>
      <c r="C26" s="19"/>
      <c r="D26" s="19"/>
      <c r="E26" s="27"/>
      <c r="F26" s="19"/>
      <c r="G26" s="19"/>
      <c r="H26" s="164"/>
      <c r="I26" s="214"/>
      <c r="J26" s="19"/>
      <c r="K26" s="19"/>
      <c r="L26" s="19"/>
      <c r="M26" s="19"/>
      <c r="N26" s="19"/>
      <c r="O26" s="164"/>
      <c r="P26" s="214"/>
      <c r="Q26" s="164"/>
      <c r="R26" s="214"/>
      <c r="S26" s="19"/>
      <c r="T26" s="19"/>
      <c r="U26" s="20"/>
    </row>
    <row r="27" spans="2:21" x14ac:dyDescent="0.25">
      <c r="B27" s="14"/>
      <c r="C27" s="67" t="s">
        <v>74</v>
      </c>
      <c r="D27" s="68"/>
      <c r="E27" s="115"/>
      <c r="F27" s="116">
        <f>+F23+F16+F25</f>
        <v>325.08000000000004</v>
      </c>
      <c r="G27" s="68"/>
      <c r="H27" s="239"/>
      <c r="I27" s="242">
        <f>+I23+I16+I25</f>
        <v>329.78000000000003</v>
      </c>
      <c r="J27" s="116"/>
      <c r="K27" s="116"/>
      <c r="L27" s="116"/>
      <c r="M27" s="116">
        <f>+M23+M16+M25</f>
        <v>355.90000000000003</v>
      </c>
      <c r="N27" s="68"/>
      <c r="O27" s="239"/>
      <c r="P27" s="242">
        <f>+P23+P16+P25</f>
        <v>363.55</v>
      </c>
      <c r="Q27" s="239"/>
      <c r="R27" s="242">
        <f>+R23+R16+R25</f>
        <v>370.7700000000001</v>
      </c>
      <c r="S27" s="68"/>
      <c r="T27" s="116">
        <f>+T23+T16+T25</f>
        <v>378.50999999999993</v>
      </c>
      <c r="U27" s="20"/>
    </row>
    <row r="28" spans="2:21" x14ac:dyDescent="0.25">
      <c r="B28" s="14"/>
      <c r="C28" s="73"/>
      <c r="D28" s="19"/>
      <c r="E28" s="27"/>
      <c r="F28" s="117"/>
      <c r="G28" s="19"/>
      <c r="H28" s="164"/>
      <c r="I28" s="243"/>
      <c r="J28" s="117"/>
      <c r="K28" s="117"/>
      <c r="L28" s="117"/>
      <c r="M28" s="117"/>
      <c r="N28" s="19"/>
      <c r="O28" s="164"/>
      <c r="P28" s="243"/>
      <c r="Q28" s="164"/>
      <c r="R28" s="243"/>
      <c r="S28" s="19"/>
      <c r="T28" s="117"/>
      <c r="U28" s="20"/>
    </row>
    <row r="29" spans="2:21" x14ac:dyDescent="0.25">
      <c r="B29" s="14"/>
      <c r="C29" s="37" t="s">
        <v>44</v>
      </c>
      <c r="D29" s="38"/>
      <c r="E29" s="39"/>
      <c r="F29" s="40">
        <v>2023</v>
      </c>
      <c r="G29" s="42"/>
      <c r="H29" s="259">
        <v>2024</v>
      </c>
      <c r="I29" s="260"/>
      <c r="J29" s="40"/>
      <c r="K29" s="40"/>
      <c r="L29" s="40"/>
      <c r="M29" s="40">
        <v>2025</v>
      </c>
      <c r="N29" s="42"/>
      <c r="O29" s="259">
        <v>2026</v>
      </c>
      <c r="P29" s="260"/>
      <c r="Q29" s="259">
        <v>2027</v>
      </c>
      <c r="R29" s="260"/>
      <c r="S29" s="259">
        <v>2028</v>
      </c>
      <c r="T29" s="257"/>
      <c r="U29" s="20"/>
    </row>
    <row r="30" spans="2:21" x14ac:dyDescent="0.25">
      <c r="B30" s="14"/>
      <c r="C30" s="73"/>
      <c r="D30" s="74"/>
      <c r="E30" s="206" t="s">
        <v>121</v>
      </c>
      <c r="F30" s="75"/>
      <c r="G30" s="19"/>
      <c r="H30" s="261">
        <v>45474</v>
      </c>
      <c r="I30" s="262"/>
      <c r="J30" s="75"/>
      <c r="K30" s="75"/>
      <c r="L30" s="75"/>
      <c r="M30" s="207">
        <v>45658</v>
      </c>
      <c r="N30" s="19"/>
      <c r="O30" s="261">
        <v>46023</v>
      </c>
      <c r="P30" s="262"/>
      <c r="Q30" s="261">
        <v>46388</v>
      </c>
      <c r="R30" s="262"/>
      <c r="S30" s="261">
        <v>46753</v>
      </c>
      <c r="T30" s="265"/>
      <c r="U30" s="20"/>
    </row>
    <row r="31" spans="2:21" x14ac:dyDescent="0.25">
      <c r="B31" s="14"/>
      <c r="C31" s="77" t="str">
        <f>+IF($D$4="West Hollywood", "Not Applicable; City of Beverly Hills does not provide ","Bi-monthly Service Charge per Dwelling Unit")</f>
        <v>Bi-monthly Service Charge per Dwelling Unit</v>
      </c>
      <c r="D31" s="19"/>
      <c r="E31" s="27"/>
      <c r="F31" s="49">
        <f>+IF($D$4="West Hollywood","",IF($F$16=0,0,IF($D$6="",0,IF($D$7="",0,IF($D$9="",0,IF($D$11="",0,'back-up'!D43))))))</f>
        <v>87.38</v>
      </c>
      <c r="G31" s="49"/>
      <c r="H31" s="216"/>
      <c r="I31" s="217">
        <f>+IF($D$4="West Hollywood","",IF($I$16=0,0,IF($D$6="",0,IF($D$7="",0,IF($D$9="",0,IF($D$11="",0,'back-up'!F43))))))</f>
        <v>77.92</v>
      </c>
      <c r="J31" s="52" t="str">
        <f>+IF($D$4="West Hollywood", "Not Applicable; City of Beverly Hills does not ","Bi-monthly Service Charge per Dwelling Unit")</f>
        <v>Bi-monthly Service Charge per Dwelling Unit</v>
      </c>
      <c r="K31" s="49"/>
      <c r="L31" s="49"/>
      <c r="M31" s="49">
        <f>+IF($D$4="West Hollywood","",IF($M$16=0,0,IF($D$6="",0,IF($D$7="",0,IF($D$9="",0,IF($D$11="",0,'back-up'!H43))))))</f>
        <v>68.459999999999994</v>
      </c>
      <c r="N31" s="49"/>
      <c r="O31" s="216"/>
      <c r="P31" s="217">
        <f>+IF($D$4="West Hollywood","",IF($P$16=0,0,IF($D$6="",0,IF($D$7="",0,IF($D$9="",0,IF($D$11="",0,'back-up'!J43))))))</f>
        <v>59</v>
      </c>
      <c r="Q31" s="216"/>
      <c r="R31" s="217">
        <f>+IF($D$4="West Hollywood","",IF($R$16=0,0,IF($D$6="",0,IF($D$7="",0,IF($D$9="",0,IF($D$11="",0,'back-up'!L43))))))</f>
        <v>49.54</v>
      </c>
      <c r="S31" s="19"/>
      <c r="T31" s="49">
        <f>+IF($D$4="West Hollywood","",IF($T$16=0,0,IF($D$6="",0,IF($D$7="",0,IF($D$9="",0,IF($D$11="",0,'back-up'!N43))))))</f>
        <v>40.08</v>
      </c>
      <c r="U31" s="20"/>
    </row>
    <row r="32" spans="2:21" x14ac:dyDescent="0.25">
      <c r="B32" s="14"/>
      <c r="C32" s="77" t="str">
        <f>+IF($D$4="West Hollywood", "Sewer service to West Hollywood.","")</f>
        <v/>
      </c>
      <c r="D32" s="19"/>
      <c r="E32" s="36" t="str">
        <f>IF($D$4="West Hollywood","","x # of Dwelling Units")</f>
        <v>x # of Dwelling Units</v>
      </c>
      <c r="F32" s="118">
        <f>+IF(D4="","",IF(D4="West Hollywood","",D7))</f>
        <v>10</v>
      </c>
      <c r="G32" s="81"/>
      <c r="H32" s="244"/>
      <c r="I32" s="245">
        <f>+F32</f>
        <v>10</v>
      </c>
      <c r="J32" s="52" t="str">
        <f>+IF($D$4="West Hollywood", "provide Sewer service to West Hollywood.","")</f>
        <v/>
      </c>
      <c r="K32" s="118"/>
      <c r="L32" s="118"/>
      <c r="M32" s="118">
        <f>+F32</f>
        <v>10</v>
      </c>
      <c r="N32" s="81"/>
      <c r="O32" s="244"/>
      <c r="P32" s="245">
        <f>+F32</f>
        <v>10</v>
      </c>
      <c r="Q32" s="244"/>
      <c r="R32" s="245">
        <f>+F32</f>
        <v>10</v>
      </c>
      <c r="S32" s="19"/>
      <c r="T32" s="119">
        <f>+I32</f>
        <v>10</v>
      </c>
      <c r="U32" s="20"/>
    </row>
    <row r="33" spans="2:23" x14ac:dyDescent="0.25">
      <c r="B33" s="14"/>
      <c r="C33" s="73"/>
      <c r="D33" s="74"/>
      <c r="E33" s="27"/>
      <c r="F33" s="90">
        <f>+IFERROR(IF($D$5="",0,IF($D$4="West Hollywood",0,F31*F32)),0)</f>
        <v>873.8</v>
      </c>
      <c r="G33" s="19"/>
      <c r="H33" s="164"/>
      <c r="I33" s="230">
        <f>+IFERROR(IF($D$5="",0,IF($D$4="West Hollywood",0,I31*I32)),0)</f>
        <v>779.2</v>
      </c>
      <c r="J33" s="88"/>
      <c r="K33" s="88"/>
      <c r="L33" s="88"/>
      <c r="M33" s="90">
        <f>+IFERROR(IF($D$5="",0,IF($D$4="West Hollywood",0,M31*M32)),0)</f>
        <v>684.59999999999991</v>
      </c>
      <c r="N33" s="19"/>
      <c r="O33" s="164"/>
      <c r="P33" s="230">
        <f>+IFERROR(IF($D$5="",0,IF($D$4="West Hollywood",0,P31*P32)),0)</f>
        <v>590</v>
      </c>
      <c r="Q33" s="164"/>
      <c r="R33" s="230">
        <f>+IFERROR(IF($D$5="",0,IF($D$4="West Hollywood",0,R31*R32)),0)</f>
        <v>495.4</v>
      </c>
      <c r="S33" s="19"/>
      <c r="T33" s="90">
        <f>+IFERROR(IF($D$5="",0,IF($D$4="West Hollywood",0,T31*T32)),0)</f>
        <v>400.79999999999995</v>
      </c>
      <c r="U33" s="20"/>
    </row>
    <row r="34" spans="2:23" x14ac:dyDescent="0.25">
      <c r="B34" s="14"/>
      <c r="C34" s="77" t="str">
        <f>IF($D$4="West Hollywood","","Quantity Charge")</f>
        <v>Quantity Charge</v>
      </c>
      <c r="D34" s="74"/>
      <c r="E34" s="27"/>
      <c r="F34" s="79"/>
      <c r="G34" s="19"/>
      <c r="H34" s="164"/>
      <c r="I34" s="243"/>
      <c r="J34" s="77" t="str">
        <f>IF($D$4="West Hollywood","","Quantity Charge")</f>
        <v>Quantity Charge</v>
      </c>
      <c r="K34" s="117"/>
      <c r="L34" s="117"/>
      <c r="M34" s="117"/>
      <c r="N34" s="19"/>
      <c r="O34" s="164"/>
      <c r="P34" s="243"/>
      <c r="Q34" s="164"/>
      <c r="R34" s="243"/>
      <c r="S34" s="19"/>
      <c r="T34" s="117"/>
      <c r="U34" s="20"/>
    </row>
    <row r="35" spans="2:23" x14ac:dyDescent="0.25">
      <c r="B35" s="14"/>
      <c r="C35" s="80" t="str">
        <f>IF($D$4="West Hollywood","","Metered Water Use (hcf)")</f>
        <v>Metered Water Use (hcf)</v>
      </c>
      <c r="D35" s="74"/>
      <c r="E35" s="27"/>
      <c r="F35" s="138" t="str">
        <f>IF($D$6="","",IF(D4="West Hollywood","",IF($D$7="","","n/a")))</f>
        <v>n/a</v>
      </c>
      <c r="G35" s="19"/>
      <c r="H35" s="164"/>
      <c r="I35" s="223">
        <f>IF($I$16=0,"",IF(D4="West Hollywood","",IF($D$7="","",$D$6)))</f>
        <v>47</v>
      </c>
      <c r="J35" s="80" t="str">
        <f>IF($D$4="West Hollywood","","Metered Water Use (hcf)")</f>
        <v>Metered Water Use (hcf)</v>
      </c>
      <c r="K35" s="81"/>
      <c r="L35" s="81"/>
      <c r="M35" s="81">
        <f>+I35</f>
        <v>47</v>
      </c>
      <c r="N35" s="19"/>
      <c r="O35" s="164"/>
      <c r="P35" s="223">
        <f>+I35</f>
        <v>47</v>
      </c>
      <c r="Q35" s="164"/>
      <c r="R35" s="223">
        <f>+I35</f>
        <v>47</v>
      </c>
      <c r="S35" s="19"/>
      <c r="T35" s="81">
        <f>+I35</f>
        <v>47</v>
      </c>
      <c r="U35" s="20"/>
    </row>
    <row r="36" spans="2:23" x14ac:dyDescent="0.25">
      <c r="B36" s="14"/>
      <c r="C36" s="80" t="str">
        <f>IF($D$4="West Hollywood","","Return to Sewer Factor")</f>
        <v>Return to Sewer Factor</v>
      </c>
      <c r="D36" s="74"/>
      <c r="E36" s="27"/>
      <c r="F36" s="186" t="str">
        <f>IF($D$4="West Hollywood","",IF($D$6="","","n/a"))</f>
        <v>n/a</v>
      </c>
      <c r="G36" s="19"/>
      <c r="H36" s="164"/>
      <c r="I36" s="246">
        <f>IF($D$4="West Hollywood","",IF(D6="","",IF($D$9="yes",0.9,1)))</f>
        <v>0.9</v>
      </c>
      <c r="J36" s="80" t="str">
        <f>IF($D$4="West Hollywood","","Return to Sewer Factor")</f>
        <v>Return to Sewer Factor</v>
      </c>
      <c r="K36" s="120"/>
      <c r="L36" s="120"/>
      <c r="M36" s="120">
        <f>+I36</f>
        <v>0.9</v>
      </c>
      <c r="N36" s="120"/>
      <c r="O36" s="249"/>
      <c r="P36" s="246">
        <f>+I36</f>
        <v>0.9</v>
      </c>
      <c r="Q36" s="249"/>
      <c r="R36" s="246">
        <f>+I36</f>
        <v>0.9</v>
      </c>
      <c r="S36" s="19"/>
      <c r="T36" s="121">
        <f>+I36</f>
        <v>0.9</v>
      </c>
      <c r="U36" s="20"/>
    </row>
    <row r="37" spans="2:23" x14ac:dyDescent="0.25">
      <c r="B37" s="14"/>
      <c r="C37" s="80" t="str">
        <f>IF($D$4="West Hollywood","","Sewered Flow (hcf)")</f>
        <v>Sewered Flow (hcf)</v>
      </c>
      <c r="D37" s="74"/>
      <c r="E37" s="27"/>
      <c r="F37" s="187" t="str">
        <f>+IF($D$4="","",IF($D$4="West Hollywood","",IF($D$6="","","n/a")))</f>
        <v>n/a</v>
      </c>
      <c r="G37" s="85"/>
      <c r="H37" s="226"/>
      <c r="I37" s="247">
        <f>+IF(I35="","",ROUND(I35*I36,0))</f>
        <v>42</v>
      </c>
      <c r="J37" s="80" t="str">
        <f>IF($D$4="West Hollywood","","Sewered Flow (hcf)")</f>
        <v>Sewered Flow (hcf)</v>
      </c>
      <c r="K37" s="119"/>
      <c r="L37" s="119"/>
      <c r="M37" s="122">
        <f>+IF(M35="","",ROUND(M35*M36,0))</f>
        <v>42</v>
      </c>
      <c r="N37" s="85"/>
      <c r="O37" s="226"/>
      <c r="P37" s="247">
        <f>+IF(P35="","",ROUND(P35*P36,0))</f>
        <v>42</v>
      </c>
      <c r="Q37" s="226"/>
      <c r="R37" s="247">
        <f>+IF(R35="","",ROUND(R35*R36,0))</f>
        <v>42</v>
      </c>
      <c r="S37" s="19"/>
      <c r="T37" s="122">
        <f>+IF(T35="","",ROUND(T35*T36,0))</f>
        <v>42</v>
      </c>
      <c r="U37" s="20"/>
    </row>
    <row r="38" spans="2:23" x14ac:dyDescent="0.25">
      <c r="B38" s="14"/>
      <c r="C38" s="80" t="str">
        <f>IF($D$4="West Hollywood","","Rate per hcf")</f>
        <v>Rate per hcf</v>
      </c>
      <c r="D38" s="74"/>
      <c r="E38" s="27"/>
      <c r="F38" s="88" t="str">
        <f>IF(F37="","",'back-up'!D49)</f>
        <v>n/a</v>
      </c>
      <c r="G38" s="88"/>
      <c r="H38" s="228"/>
      <c r="I38" s="229">
        <f>IF(I37="","",'back-up'!F49)</f>
        <v>0.72</v>
      </c>
      <c r="J38" s="80" t="str">
        <f>IF($D$4="West Hollywood","","Rate per hcf")</f>
        <v>Rate per hcf</v>
      </c>
      <c r="K38" s="88"/>
      <c r="L38" s="88"/>
      <c r="M38" s="88">
        <f>IF(M37="","",'back-up'!H49)</f>
        <v>1.43</v>
      </c>
      <c r="N38" s="88"/>
      <c r="O38" s="228"/>
      <c r="P38" s="229">
        <f>IF(P37="","",'back-up'!J49)</f>
        <v>2.15</v>
      </c>
      <c r="Q38" s="228"/>
      <c r="R38" s="229">
        <f>IF(R37="","",'back-up'!L49)</f>
        <v>2.86</v>
      </c>
      <c r="S38" s="19"/>
      <c r="T38" s="88">
        <f>IF(T37="","",'back-up'!N49)</f>
        <v>3.58</v>
      </c>
      <c r="U38" s="20"/>
    </row>
    <row r="39" spans="2:23" x14ac:dyDescent="0.25">
      <c r="B39" s="14"/>
      <c r="C39" s="80"/>
      <c r="D39" s="74"/>
      <c r="E39" s="27"/>
      <c r="F39" s="90">
        <f>+IFERROR(IF(F33="","",IF(F37="",0,F37*F38)),0)</f>
        <v>0</v>
      </c>
      <c r="G39" s="19"/>
      <c r="H39" s="164"/>
      <c r="I39" s="230">
        <f>+IF(I33="","",IF(I37="",0,I37*I38))</f>
        <v>30.24</v>
      </c>
      <c r="J39" s="88"/>
      <c r="K39" s="88"/>
      <c r="L39" s="88"/>
      <c r="M39" s="90">
        <f>+IF(M33="","",IF(M37="",0,M37*M38))</f>
        <v>60.059999999999995</v>
      </c>
      <c r="N39" s="19"/>
      <c r="O39" s="164"/>
      <c r="P39" s="230">
        <f>+IF(P33="","",IF(P37="",0,P37*P38))</f>
        <v>90.3</v>
      </c>
      <c r="Q39" s="164"/>
      <c r="R39" s="230">
        <f>+IF(R33="","",IF(R37="",0,R37*R38))</f>
        <v>120.11999999999999</v>
      </c>
      <c r="S39" s="19"/>
      <c r="T39" s="90">
        <f>+IF(T33="","",IF(T37="",0,T37*T38))</f>
        <v>150.36000000000001</v>
      </c>
      <c r="U39" s="20"/>
    </row>
    <row r="40" spans="2:23" x14ac:dyDescent="0.25">
      <c r="B40" s="14"/>
      <c r="C40" s="77"/>
      <c r="D40" s="19"/>
      <c r="E40" s="36"/>
      <c r="G40" s="19"/>
      <c r="H40" s="164"/>
      <c r="I40" s="214"/>
      <c r="J40" s="19"/>
      <c r="K40" s="19"/>
      <c r="L40" s="19"/>
      <c r="M40" s="19"/>
      <c r="N40" s="19"/>
      <c r="O40" s="164"/>
      <c r="P40" s="214"/>
      <c r="Q40" s="164"/>
      <c r="R40" s="214"/>
      <c r="S40" s="19"/>
      <c r="T40" s="19"/>
      <c r="U40" s="20"/>
    </row>
    <row r="41" spans="2:23" x14ac:dyDescent="0.25">
      <c r="B41" s="12"/>
      <c r="C41" s="95" t="s">
        <v>52</v>
      </c>
      <c r="D41" s="96"/>
      <c r="E41" s="97"/>
      <c r="F41" s="98">
        <f>IF(F33="","",F39+F33)</f>
        <v>873.8</v>
      </c>
      <c r="G41" s="123"/>
      <c r="H41" s="248"/>
      <c r="I41" s="232">
        <f>IF(I33="","",I39+I33)</f>
        <v>809.44</v>
      </c>
      <c r="J41" s="98"/>
      <c r="K41" s="98"/>
      <c r="L41" s="98"/>
      <c r="M41" s="98">
        <f>IF(M33="","",M39+M33)</f>
        <v>744.65999999999985</v>
      </c>
      <c r="N41" s="19"/>
      <c r="O41" s="164"/>
      <c r="P41" s="232">
        <f>IF(P33="","",P39+P33)</f>
        <v>680.3</v>
      </c>
      <c r="Q41" s="164"/>
      <c r="R41" s="232">
        <f>IF(R33="","",R39+R33)</f>
        <v>615.52</v>
      </c>
      <c r="S41" s="19"/>
      <c r="T41" s="98">
        <f>IF(T33="","",T39+T33)</f>
        <v>551.16</v>
      </c>
      <c r="U41" s="20"/>
    </row>
    <row r="42" spans="2:23" x14ac:dyDescent="0.25">
      <c r="B42" s="14"/>
      <c r="C42" s="36"/>
      <c r="D42" s="19"/>
      <c r="E42" s="27"/>
      <c r="F42" s="19"/>
      <c r="G42" s="19"/>
      <c r="H42" s="164"/>
      <c r="I42" s="214"/>
      <c r="J42" s="19"/>
      <c r="K42" s="19"/>
      <c r="L42" s="19"/>
      <c r="M42" s="19"/>
      <c r="N42" s="19"/>
      <c r="O42" s="164"/>
      <c r="P42" s="214"/>
      <c r="Q42" s="164"/>
      <c r="R42" s="214"/>
      <c r="S42" s="19"/>
      <c r="T42" s="19"/>
      <c r="U42" s="20"/>
    </row>
    <row r="43" spans="2:23" x14ac:dyDescent="0.25">
      <c r="B43" s="14"/>
      <c r="C43" s="102" t="s">
        <v>55</v>
      </c>
      <c r="D43" s="102"/>
      <c r="E43" s="103"/>
      <c r="F43" s="104">
        <f>+F41+F27</f>
        <v>1198.8800000000001</v>
      </c>
      <c r="G43" s="105"/>
      <c r="H43" s="233"/>
      <c r="I43" s="234">
        <f>+I41+I27</f>
        <v>1139.22</v>
      </c>
      <c r="J43" s="104"/>
      <c r="K43" s="104"/>
      <c r="L43" s="104"/>
      <c r="M43" s="104">
        <f>+M41+M27</f>
        <v>1100.56</v>
      </c>
      <c r="N43" s="105"/>
      <c r="O43" s="233"/>
      <c r="P43" s="234">
        <f>+P41+P27</f>
        <v>1043.8499999999999</v>
      </c>
      <c r="Q43" s="233"/>
      <c r="R43" s="234">
        <f>+R41+R27</f>
        <v>986.29000000000008</v>
      </c>
      <c r="S43" s="105"/>
      <c r="T43" s="104">
        <f>+T41+T27</f>
        <v>929.66999999999985</v>
      </c>
      <c r="U43" s="20"/>
    </row>
    <row r="44" spans="2:23" ht="15.75" thickBot="1" x14ac:dyDescent="0.3">
      <c r="B44" s="106"/>
      <c r="C44" s="107"/>
      <c r="D44" s="107"/>
      <c r="E44" s="108"/>
      <c r="F44" s="107"/>
      <c r="G44" s="107"/>
      <c r="H44" s="172"/>
      <c r="I44" s="235"/>
      <c r="J44" s="107"/>
      <c r="K44" s="107"/>
      <c r="L44" s="107"/>
      <c r="M44" s="107"/>
      <c r="N44" s="107"/>
      <c r="O44" s="172"/>
      <c r="P44" s="235"/>
      <c r="Q44" s="172"/>
      <c r="R44" s="235"/>
      <c r="S44" s="107"/>
      <c r="T44" s="107"/>
      <c r="U44" s="109"/>
    </row>
    <row r="46" spans="2:23" x14ac:dyDescent="0.25">
      <c r="V46" s="256"/>
      <c r="W46" s="256"/>
    </row>
    <row r="47" spans="2:23" x14ac:dyDescent="0.25">
      <c r="V47" s="256"/>
      <c r="W47" s="256"/>
    </row>
    <row r="48" spans="2:23" x14ac:dyDescent="0.25">
      <c r="D48" t="s">
        <v>75</v>
      </c>
    </row>
    <row r="50" spans="16:20" x14ac:dyDescent="0.25">
      <c r="P50" s="251"/>
      <c r="Q50" s="251"/>
      <c r="R50" s="251"/>
      <c r="S50" s="251"/>
      <c r="T50" s="251"/>
    </row>
    <row r="51" spans="16:20" x14ac:dyDescent="0.25">
      <c r="P51" s="251"/>
      <c r="Q51" s="251"/>
      <c r="R51" s="251"/>
      <c r="S51" s="251"/>
      <c r="T51" s="251"/>
    </row>
    <row r="52" spans="16:20" x14ac:dyDescent="0.25">
      <c r="P52" s="251"/>
      <c r="Q52" s="251"/>
      <c r="R52" s="251"/>
      <c r="S52" s="251"/>
      <c r="T52" s="251"/>
    </row>
    <row r="53" spans="16:20" x14ac:dyDescent="0.25">
      <c r="P53" s="251"/>
      <c r="Q53" s="251"/>
      <c r="R53" s="251"/>
      <c r="S53" s="251"/>
      <c r="T53" s="251"/>
    </row>
  </sheetData>
  <sheetProtection algorithmName="SHA-512" hashValue="5woZI12yzO0WvTB0M0g9M5qjrIcI/Er8IiC1buhrj2Torwf+B2YaE5CpYilMz4hfMIUes8e4Z6PTkn4H/Y7dUQ==" saltValue="GrgtzjkdNtaHaj4yQhDnlA==" spinCount="100000" sheet="1" selectLockedCells="1"/>
  <dataConsolidate link="1"/>
  <mergeCells count="18">
    <mergeCell ref="S14:T14"/>
    <mergeCell ref="S15:T15"/>
    <mergeCell ref="H29:I29"/>
    <mergeCell ref="O29:P29"/>
    <mergeCell ref="Q29:R29"/>
    <mergeCell ref="S29:T29"/>
    <mergeCell ref="H14:I14"/>
    <mergeCell ref="H15:I15"/>
    <mergeCell ref="O14:P14"/>
    <mergeCell ref="O15:P15"/>
    <mergeCell ref="Q15:R15"/>
    <mergeCell ref="Q14:R14"/>
    <mergeCell ref="V46:W46"/>
    <mergeCell ref="V47:W47"/>
    <mergeCell ref="H30:I30"/>
    <mergeCell ref="O30:P30"/>
    <mergeCell ref="Q30:R30"/>
    <mergeCell ref="S30:T30"/>
  </mergeCells>
  <conditionalFormatting sqref="F28">
    <cfRule type="notContainsBlanks" dxfId="1" priority="1">
      <formula>LEN(TRIM(F28))&gt;0</formula>
    </cfRule>
  </conditionalFormatting>
  <dataValidations count="5">
    <dataValidation type="list" allowBlank="1" showErrorMessage="1" prompt="Use drop down list to enter data" sqref="D5" xr:uid="{C497084F-B8F0-4774-86CE-F7EBF8DC830F}">
      <formula1>"1"", 1 1/2"", 2"", 3"", 4"", 6"""</formula1>
    </dataValidation>
    <dataValidation type="whole" allowBlank="1" showInputMessage="1" showErrorMessage="1" error="Enter whole numbers only...no decimals" sqref="D7 D10" xr:uid="{3193595A-3EA9-498B-AEBD-409F730658FB}">
      <formula1>0</formula1>
      <formula2>9999</formula2>
    </dataValidation>
    <dataValidation type="list" allowBlank="1" showErrorMessage="1" prompt="Use drop down list to enter data" sqref="D4" xr:uid="{629EF06E-1612-4707-83CE-C309A8263264}">
      <formula1>"Beverly Hills, West Hollywood"</formula1>
    </dataValidation>
    <dataValidation type="whole" operator="greaterThanOrEqual" allowBlank="1" showInputMessage="1" showErrorMessage="1" error="Enter whole numbers only...no decimals" sqref="D6" xr:uid="{B38C3181-8662-4F44-8474-E99842613627}">
      <formula1>0</formula1>
    </dataValidation>
    <dataValidation allowBlank="1" showInputMessage="1" showErrorMessage="1" error="Enter whole numbers only...no decimals" sqref="D12" xr:uid="{35DCD5A2-2E79-428F-BE8E-D0A31DD745A0}"/>
  </dataValidations>
  <pageMargins left="0.7" right="0.7" top="0.75" bottom="0.75" header="0.3" footer="0.3"/>
  <pageSetup scale="60" orientation="landscape" r:id="rId1"/>
  <ignoredErrors>
    <ignoredError sqref="D12" unlockedFormula="1"/>
    <ignoredError sqref="R25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8E5B495-D299-4014-8B2D-6DFD62976F87}">
          <x14:formula1>
            <xm:f>'back-up'!$V$36:$V$37</xm:f>
          </x14:formula1>
          <xm:sqref>K6:L6</xm:sqref>
        </x14:dataValidation>
        <x14:dataValidation type="list" allowBlank="1" showInputMessage="1" showErrorMessage="1" xr:uid="{53B3A6BB-ADF5-483C-856C-EC72A3A3A097}">
          <x14:formula1>
            <xm:f>'back-up'!$P$50:$P$55</xm:f>
          </x14:formula1>
          <xm:sqref>D11</xm:sqref>
        </x14:dataValidation>
        <x14:dataValidation type="list" allowBlank="1" showInputMessage="1" showErrorMessage="1" xr:uid="{DAE82F00-4987-4A47-BC91-0058ACAA8E09}">
          <x14:formula1>
            <xm:f>'back-up'!$T$43:$T$44</xm:f>
          </x14:formula1>
          <xm:sqref>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FF893-A580-4849-B17E-791F02A2CEAF}">
  <sheetPr>
    <pageSetUpPr fitToPage="1"/>
  </sheetPr>
  <dimension ref="B1:AA48"/>
  <sheetViews>
    <sheetView workbookViewId="0">
      <selection activeCell="D4" sqref="D4"/>
    </sheetView>
  </sheetViews>
  <sheetFormatPr defaultColWidth="9.140625" defaultRowHeight="15" x14ac:dyDescent="0.25"/>
  <cols>
    <col min="1" max="1" width="3.42578125" customWidth="1"/>
    <col min="2" max="2" width="2.140625" customWidth="1"/>
    <col min="3" max="3" width="43.140625" customWidth="1"/>
    <col min="4" max="4" width="17" customWidth="1"/>
    <col min="5" max="5" width="9.140625" style="1" customWidth="1"/>
    <col min="6" max="6" width="14.7109375" customWidth="1"/>
    <col min="7" max="7" width="2.140625" customWidth="1"/>
    <col min="8" max="8" width="11" customWidth="1"/>
    <col min="9" max="9" width="12.42578125" customWidth="1"/>
    <col min="10" max="10" width="24.42578125" customWidth="1"/>
    <col min="11" max="11" width="12.42578125" customWidth="1"/>
    <col min="12" max="12" width="9.28515625" customWidth="1"/>
    <col min="13" max="13" width="12.42578125" customWidth="1"/>
    <col min="14" max="14" width="1.85546875" customWidth="1"/>
    <col min="15" max="15" width="11.5703125" customWidth="1"/>
    <col min="16" max="16" width="12.42578125" customWidth="1"/>
    <col min="17" max="17" width="12.5703125" customWidth="1"/>
    <col min="18" max="18" width="12.42578125" customWidth="1"/>
    <col min="19" max="19" width="11" customWidth="1"/>
    <col min="20" max="20" width="12.42578125" customWidth="1"/>
    <col min="21" max="21" width="1.85546875" customWidth="1"/>
  </cols>
  <sheetData>
    <row r="1" spans="2:21" ht="15.75" thickBot="1" x14ac:dyDescent="0.3">
      <c r="C1" s="185" t="s">
        <v>120</v>
      </c>
    </row>
    <row r="2" spans="2:21" ht="21.75" customHeight="1" thickBot="1" x14ac:dyDescent="0.3">
      <c r="B2" s="8"/>
      <c r="C2" s="9"/>
      <c r="D2" s="9"/>
      <c r="E2" s="10"/>
      <c r="F2" s="9"/>
      <c r="G2" s="9"/>
      <c r="H2" s="9"/>
      <c r="I2" s="124" t="s">
        <v>76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</row>
    <row r="3" spans="2:21" ht="15.75" thickBot="1" x14ac:dyDescent="0.3">
      <c r="B3" s="14"/>
      <c r="C3" s="15" t="s">
        <v>4</v>
      </c>
      <c r="D3" s="16"/>
      <c r="E3" s="17"/>
      <c r="F3" s="18"/>
      <c r="G3" s="19"/>
      <c r="H3" s="19"/>
      <c r="I3" s="52" t="s">
        <v>77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</row>
    <row r="4" spans="2:21" x14ac:dyDescent="0.25">
      <c r="B4" s="14"/>
      <c r="C4" s="23" t="s">
        <v>61</v>
      </c>
      <c r="D4" s="24" t="s">
        <v>90</v>
      </c>
      <c r="E4" s="25" t="s">
        <v>115</v>
      </c>
      <c r="F4" s="31"/>
      <c r="G4" s="19"/>
      <c r="H4" s="19"/>
      <c r="I4" s="125" t="s">
        <v>78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</row>
    <row r="5" spans="2:21" x14ac:dyDescent="0.25">
      <c r="B5" s="14"/>
      <c r="C5" s="23" t="s">
        <v>62</v>
      </c>
      <c r="D5" s="28" t="s">
        <v>5</v>
      </c>
      <c r="E5" s="25" t="s">
        <v>9</v>
      </c>
      <c r="F5" s="31"/>
      <c r="G5" s="19"/>
      <c r="H5" s="19"/>
      <c r="I5" s="52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2:21" x14ac:dyDescent="0.25">
      <c r="B6" s="14"/>
      <c r="C6" s="23" t="s">
        <v>63</v>
      </c>
      <c r="D6" s="32">
        <v>226</v>
      </c>
      <c r="E6" s="25" t="s">
        <v>12</v>
      </c>
      <c r="F6" s="31"/>
      <c r="G6" s="19"/>
      <c r="H6" s="19"/>
      <c r="I6" s="52" t="s">
        <v>79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2:21" x14ac:dyDescent="0.25">
      <c r="B7" s="14"/>
      <c r="C7" s="23" t="s">
        <v>80</v>
      </c>
      <c r="D7" s="29" t="s">
        <v>88</v>
      </c>
      <c r="E7" s="111" t="s">
        <v>82</v>
      </c>
      <c r="F7" s="31"/>
      <c r="G7" s="19"/>
      <c r="H7" s="19"/>
      <c r="I7" s="125" t="s">
        <v>83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2:21" x14ac:dyDescent="0.25">
      <c r="B8" s="14"/>
      <c r="C8" s="23" t="s">
        <v>16</v>
      </c>
      <c r="D8" s="32" t="s">
        <v>17</v>
      </c>
      <c r="E8" s="33"/>
      <c r="F8" s="31"/>
      <c r="G8" s="19"/>
      <c r="H8" s="19"/>
      <c r="I8" s="52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</row>
    <row r="9" spans="2:21" x14ac:dyDescent="0.25">
      <c r="B9" s="14"/>
      <c r="C9" s="184" t="s">
        <v>19</v>
      </c>
      <c r="D9" s="203"/>
      <c r="E9" s="33"/>
      <c r="F9" s="31"/>
      <c r="G9" s="19"/>
      <c r="H9" s="19"/>
      <c r="I9" s="52" t="s">
        <v>84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2:21" x14ac:dyDescent="0.25">
      <c r="B10" s="14"/>
      <c r="C10" s="23" t="s">
        <v>111</v>
      </c>
      <c r="D10" s="32" t="s">
        <v>112</v>
      </c>
      <c r="E10" s="126" t="s">
        <v>116</v>
      </c>
      <c r="F10" s="31"/>
      <c r="G10" s="19"/>
      <c r="H10" s="19"/>
      <c r="I10" s="125" t="s">
        <v>86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</row>
    <row r="11" spans="2:21" ht="15.75" thickBot="1" x14ac:dyDescent="0.3">
      <c r="B11" s="14"/>
      <c r="C11" s="34" t="s">
        <v>109</v>
      </c>
      <c r="D11" s="204">
        <f>ROUND(INDEX('back-up'!$V$57:$V$62,MATCH($D$10,'back-up'!$P$57:$P$62,0),1),2)</f>
        <v>0</v>
      </c>
      <c r="E11" s="188" t="s">
        <v>117</v>
      </c>
      <c r="F11" s="35"/>
      <c r="G11" s="19"/>
      <c r="H11" s="19"/>
      <c r="I11" s="52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</row>
    <row r="12" spans="2:21" x14ac:dyDescent="0.25">
      <c r="B12" s="14"/>
      <c r="C12" s="127"/>
      <c r="D12" s="128"/>
      <c r="E12" s="7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</row>
    <row r="13" spans="2:21" x14ac:dyDescent="0.25">
      <c r="B13" s="14"/>
      <c r="C13" s="19"/>
      <c r="D13" s="36"/>
      <c r="E13" s="27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2:21" x14ac:dyDescent="0.25">
      <c r="B14" s="14"/>
      <c r="C14" s="37" t="s">
        <v>21</v>
      </c>
      <c r="D14" s="38"/>
      <c r="E14" s="39"/>
      <c r="F14" s="40">
        <v>2023</v>
      </c>
      <c r="G14" s="42"/>
      <c r="H14" s="257">
        <v>2024</v>
      </c>
      <c r="I14" s="257"/>
      <c r="J14" s="42"/>
      <c r="K14" s="42"/>
      <c r="L14" s="42"/>
      <c r="M14" s="40">
        <v>2025</v>
      </c>
      <c r="N14" s="40"/>
      <c r="O14" s="257">
        <v>2026</v>
      </c>
      <c r="P14" s="257"/>
      <c r="Q14" s="257">
        <v>2027</v>
      </c>
      <c r="R14" s="257"/>
      <c r="S14" s="257">
        <v>2028</v>
      </c>
      <c r="T14" s="257"/>
      <c r="U14" s="20"/>
    </row>
    <row r="15" spans="2:21" x14ac:dyDescent="0.25">
      <c r="B15" s="14"/>
      <c r="C15" s="36"/>
      <c r="D15" s="19"/>
      <c r="E15" s="206" t="s">
        <v>121</v>
      </c>
      <c r="F15" s="76"/>
      <c r="G15" s="19"/>
      <c r="H15" s="261">
        <v>45474</v>
      </c>
      <c r="I15" s="262"/>
      <c r="J15" s="19"/>
      <c r="K15" s="19"/>
      <c r="L15" s="19"/>
      <c r="M15" s="207">
        <v>45839</v>
      </c>
      <c r="N15" s="19"/>
      <c r="O15" s="261">
        <v>46204</v>
      </c>
      <c r="P15" s="263"/>
      <c r="Q15" s="261">
        <v>46569</v>
      </c>
      <c r="R15" s="262"/>
      <c r="S15" s="261">
        <v>46935</v>
      </c>
      <c r="T15" s="265"/>
      <c r="U15" s="20"/>
    </row>
    <row r="16" spans="2:21" x14ac:dyDescent="0.25">
      <c r="B16" s="14"/>
      <c r="C16" s="77" t="s">
        <v>24</v>
      </c>
      <c r="D16" s="27" t="str">
        <f>IF($D$5="","",+$D$5 &amp;" meter")</f>
        <v>1" meter</v>
      </c>
      <c r="E16" s="27"/>
      <c r="F16" s="130">
        <f>+IF($D$4="",0,IF($D$5="",0,IF($D$6="",0,IF($D$7="",0,IF($D$8="",0,IF($D$10="",0,VLOOKUP($D$5,'back-up'!$B$5:$N$12,3,FALSE)))))))</f>
        <v>53.51</v>
      </c>
      <c r="G16" s="19"/>
      <c r="H16" s="164"/>
      <c r="I16" s="213">
        <f>+IF($D$4="",0,IF($D$5="",0,IF($D$6="",0,IF($D$7="",0,IF($D$8="",0,IF($D$10="",0,VLOOKUP($D$5,'back-up'!$B$5:$N$12,5,FALSE)))))))</f>
        <v>53.51</v>
      </c>
      <c r="J16" s="52" t="s">
        <v>24</v>
      </c>
      <c r="K16" s="27" t="str">
        <f>IF($D$5="","",+$D$5 &amp;" meter")</f>
        <v>1" meter</v>
      </c>
      <c r="L16" s="27"/>
      <c r="M16" s="48">
        <f>+IF($D$4="",0,IF($D$5="",0,IF($D$6="",0,IF($D$7="",0,IF($D$8="",0,IF($D$10="",0,VLOOKUP($D$5,'back-up'!$B$5:$N$12,7,FALSE)))))))</f>
        <v>58.64</v>
      </c>
      <c r="N16" s="19"/>
      <c r="O16" s="164"/>
      <c r="P16" s="213">
        <f>+IF($D$4="",0,IF($D$5="",0,IF($D$6="",0,IF($D$7="",0,IF($D$8="",0,IF($D$10="",0,VLOOKUP($D$5,'back-up'!$B$5:$N$12,9,FALSE)))))))</f>
        <v>59.81</v>
      </c>
      <c r="Q16" s="164"/>
      <c r="R16" s="213">
        <f>+IF($D$4="",0,IF($D$5="",0,IF($D$6="",0,IF($D$7="",0,IF($D$8="",0,IF($D$10="",0,VLOOKUP($D$5,'back-up'!$B$5:$N$12,11,FALSE)))))))</f>
        <v>61.01</v>
      </c>
      <c r="S16" s="19"/>
      <c r="T16" s="48">
        <f>+IF($D$4="",0,IF($D$5="",0,IF($D$6="",0,IF($D$7="",0,IF($D$8="",0,IF($D$10="",0,VLOOKUP($D$5,'back-up'!$B$5:$N$12,13,FALSE)))))))</f>
        <v>62.23</v>
      </c>
      <c r="U16" s="20"/>
    </row>
    <row r="17" spans="2:27" x14ac:dyDescent="0.25">
      <c r="B17" s="14"/>
      <c r="C17" s="77"/>
      <c r="D17" s="19"/>
      <c r="E17" s="27"/>
      <c r="F17" s="19"/>
      <c r="G17" s="19"/>
      <c r="H17" s="164"/>
      <c r="I17" s="214"/>
      <c r="J17" s="52"/>
      <c r="K17" s="19"/>
      <c r="L17" s="27"/>
      <c r="M17" s="19"/>
      <c r="N17" s="19"/>
      <c r="O17" s="164"/>
      <c r="P17" s="214"/>
      <c r="Q17" s="164"/>
      <c r="R17" s="214"/>
      <c r="S17" s="19"/>
      <c r="T17" s="19"/>
      <c r="U17" s="20"/>
      <c r="AA17" s="101"/>
    </row>
    <row r="18" spans="2:27" x14ac:dyDescent="0.25">
      <c r="B18" s="14"/>
      <c r="C18" s="77" t="s">
        <v>27</v>
      </c>
      <c r="D18" s="50" t="s">
        <v>28</v>
      </c>
      <c r="E18" s="50" t="s">
        <v>29</v>
      </c>
      <c r="F18" s="51" t="s">
        <v>30</v>
      </c>
      <c r="G18" s="19"/>
      <c r="H18" s="215" t="str">
        <f>D18</f>
        <v>Rate ($/hcf)</v>
      </c>
      <c r="I18" s="214"/>
      <c r="J18" s="52" t="s">
        <v>27</v>
      </c>
      <c r="K18" s="50" t="s">
        <v>28</v>
      </c>
      <c r="L18" s="50" t="s">
        <v>29</v>
      </c>
      <c r="M18" s="19"/>
      <c r="N18" s="19"/>
      <c r="O18" s="215" t="str">
        <f>D18</f>
        <v>Rate ($/hcf)</v>
      </c>
      <c r="P18" s="214"/>
      <c r="Q18" s="215" t="str">
        <f>D18</f>
        <v>Rate ($/hcf)</v>
      </c>
      <c r="R18" s="214"/>
      <c r="S18" s="19" t="str">
        <f>D18</f>
        <v>Rate ($/hcf)</v>
      </c>
      <c r="T18" s="19"/>
      <c r="U18" s="20"/>
    </row>
    <row r="19" spans="2:27" x14ac:dyDescent="0.25">
      <c r="B19" s="14"/>
      <c r="C19" s="77"/>
      <c r="D19" s="54">
        <f>+IF($F$16=0,0,IF(D4="Beverly Hills",'back-up'!D35,'back-up'!D38))</f>
        <v>7.24</v>
      </c>
      <c r="E19" s="55">
        <f>+IF($F$16=0,0,IF($D$5="",0,IF($D$6="",0,IF($D$7="",0,$D$6))))</f>
        <v>226</v>
      </c>
      <c r="F19" s="130">
        <f>+E19*D19</f>
        <v>1636.24</v>
      </c>
      <c r="G19" s="19"/>
      <c r="H19" s="237">
        <f>D19</f>
        <v>7.24</v>
      </c>
      <c r="I19" s="213">
        <f>+IF($I$16=0,0,ROUND(IF($D$4="Beverly Hills",'back-up'!F35*INDEX('back-up'!$V$50:$V$55,MATCH($D$10,'back-up'!$P$50:$P$55,0),1),'back-up'!F38*INDEX('back-up'!$V$50:$V$55,MATCH($D$10,'back-up'!$P$50:$P$55,0),1)),2)*$E19)</f>
        <v>1636.24</v>
      </c>
      <c r="J19" s="52"/>
      <c r="K19" s="56">
        <f>+IF($M$16=0,0,ROUND(IF($D$4="Beverly Hills",'back-up'!H35*INDEX('back-up'!$V$50:$V$55,MATCH($D$10,'back-up'!$P$50:$P$55,0),1),'back-up'!H38*INDEX('back-up'!$V$50:$V$55,MATCH($D$10,'back-up'!$P$50:$P$55,0),1)),2))</f>
        <v>7.43</v>
      </c>
      <c r="L19" s="55">
        <f>+IF($D$4="",0,IF($D$5="",0,IF($D$6="",0,IF($D$7="",0,$D$6))))</f>
        <v>226</v>
      </c>
      <c r="M19" s="48">
        <f>+K19*L19</f>
        <v>1679.1799999999998</v>
      </c>
      <c r="N19" s="19"/>
      <c r="O19" s="237">
        <f>IF($P$16=0,0,ROUND(IF($D$4="Beverly Hills",'back-up'!J35*INDEX('back-up'!$V$50:$V$55,MATCH($D$10,'back-up'!$P$50:$P$55,0),1),'back-up'!J38*INDEX('back-up'!$V$50:$V$55,MATCH($D$10,'back-up'!$P$50:$P$55,0),1)),2))</f>
        <v>7.58</v>
      </c>
      <c r="P19" s="213">
        <f>++IF($P$16=0,0,ROUND(IF($D$4="Beverly Hills",'back-up'!J35*INDEX('back-up'!$V$50:$V$55,MATCH($D$10,'back-up'!$P$50:$P$55,0),1),'back-up'!J38*INDEX('back-up'!$V$50:$V$55,MATCH($D$10,'back-up'!$P$50:$P$55,0),1)),2)*$L19)</f>
        <v>1713.08</v>
      </c>
      <c r="Q19" s="237">
        <f>IF($R$16=0,0,ROUND(IF($D$4="Beverly Hills",'back-up'!L35*INDEX('back-up'!$V$50:$V$55,MATCH($D$10,'back-up'!$P$50:$P$55,0),1),'back-up'!L38*INDEX('back-up'!$V$50:$V$55,MATCH($D$10,'back-up'!$P$50:$P$55,0),1)),2))</f>
        <v>7.73</v>
      </c>
      <c r="R19" s="213">
        <f>++IF($R$16=0,0,ROUND(IF($D$4="Beverly Hills",'back-up'!L35*INDEX('back-up'!$V$50:$V$55,MATCH($D$10,'back-up'!$P$50:$P$55,0),1),'back-up'!L38*INDEX('back-up'!$V$50:$V$55,MATCH($D$10,'back-up'!$P$50:$P$55,0),1)),2)*$L19)</f>
        <v>1746.98</v>
      </c>
      <c r="S19" s="49">
        <f>IF($T$16=0,0,ROUND(IF($D$4="Beverly Hills",'back-up'!N35*INDEX('back-up'!$V$50:$V$55,MATCH($D$10,'back-up'!$P$50:$P$55,0),1),'back-up'!N38*INDEX('back-up'!$V$50:$V$55,MATCH($D$10,'back-up'!$P$50:$P$55,0),1)),2))</f>
        <v>7.88</v>
      </c>
      <c r="T19" s="48">
        <f>++IF($T$16=0,0,ROUND(IF($D$4="Beverly Hills",'back-up'!N35*INDEX('back-up'!$V$50:$V$55,MATCH($D$10,'back-up'!$P$50:$P$55,0),1),'back-up'!N38*INDEX('back-up'!$V$50:$V$55,MATCH($D$10,'back-up'!$P$50:$P$55,0),1)),2)*$L19)</f>
        <v>1780.8799999999999</v>
      </c>
      <c r="U19" s="20"/>
    </row>
    <row r="20" spans="2:27" x14ac:dyDescent="0.25">
      <c r="B20" s="14"/>
      <c r="C20" s="77"/>
      <c r="D20" s="54"/>
      <c r="E20" s="55"/>
      <c r="F20" s="49"/>
      <c r="G20" s="19"/>
      <c r="H20" s="238"/>
      <c r="I20" s="217"/>
      <c r="J20" s="52"/>
      <c r="K20" s="56"/>
      <c r="L20" s="55"/>
      <c r="M20" s="49"/>
      <c r="N20" s="19"/>
      <c r="O20" s="164"/>
      <c r="P20" s="217"/>
      <c r="Q20" s="164"/>
      <c r="R20" s="217"/>
      <c r="S20" s="19"/>
      <c r="T20" s="49"/>
      <c r="U20" s="20"/>
    </row>
    <row r="21" spans="2:27" x14ac:dyDescent="0.25">
      <c r="B21" s="14"/>
      <c r="C21" s="77" t="s">
        <v>40</v>
      </c>
      <c r="D21" s="54">
        <f>IF($F$16=0,"",IF($D$6="","",IF(D7="","",IF(D10="","",IF($D$5="","",IF($D$8="","",IF($D$4="Beverly Hills",0.26,0.41)))))))</f>
        <v>0.26</v>
      </c>
      <c r="E21" s="65">
        <f>+E19</f>
        <v>226</v>
      </c>
      <c r="F21" s="48">
        <f>+IF(E21=0,0,D21*$E$21)</f>
        <v>58.760000000000005</v>
      </c>
      <c r="G21" s="19"/>
      <c r="H21" s="237">
        <f>IF(D21="","",D21+0.01)</f>
        <v>0.27</v>
      </c>
      <c r="I21" s="213">
        <f>+IF(E21=0,0,($H$21)*$E$21)</f>
        <v>61.02</v>
      </c>
      <c r="J21" s="52" t="s">
        <v>40</v>
      </c>
      <c r="K21" s="56">
        <f>IF(D21="","",H21+0.01)</f>
        <v>0.28000000000000003</v>
      </c>
      <c r="L21" s="65">
        <f>+L19</f>
        <v>226</v>
      </c>
      <c r="M21" s="48">
        <f>+IF(E21=0,0,($D$21+0.02)*$E$21)</f>
        <v>63.280000000000008</v>
      </c>
      <c r="N21" s="19"/>
      <c r="O21" s="237">
        <f>IF(D21="","",K21+0.01)</f>
        <v>0.29000000000000004</v>
      </c>
      <c r="P21" s="213">
        <f>+IF(E21=0,0,($D$21+0.03)*$E$21)</f>
        <v>65.540000000000006</v>
      </c>
      <c r="Q21" s="237">
        <f>IF(D21="","",O21+0.01)</f>
        <v>0.30000000000000004</v>
      </c>
      <c r="R21" s="213">
        <f>+IF($E$21=0,0,($D$21+0.04)*$E$21)</f>
        <v>67.8</v>
      </c>
      <c r="S21" s="49">
        <f>IF(D21="","",Q21+0.01)</f>
        <v>0.31000000000000005</v>
      </c>
      <c r="T21" s="48">
        <f>+IF($E$21=0,0,($D$21+0.05)*$E$21)</f>
        <v>70.06</v>
      </c>
      <c r="U21" s="20"/>
    </row>
    <row r="22" spans="2:27" x14ac:dyDescent="0.25">
      <c r="B22" s="14"/>
      <c r="C22" s="19"/>
      <c r="D22" s="19"/>
      <c r="E22" s="27"/>
      <c r="F22" s="19"/>
      <c r="G22" s="19"/>
      <c r="H22" s="164"/>
      <c r="I22" s="214"/>
      <c r="J22" s="19"/>
      <c r="K22" s="19"/>
      <c r="L22" s="19"/>
      <c r="M22" s="19"/>
      <c r="N22" s="19"/>
      <c r="O22" s="164"/>
      <c r="P22" s="214"/>
      <c r="Q22" s="164"/>
      <c r="R22" s="214"/>
      <c r="S22" s="19"/>
      <c r="T22" s="19"/>
      <c r="U22" s="20"/>
    </row>
    <row r="23" spans="2:27" x14ac:dyDescent="0.25">
      <c r="B23" s="14"/>
      <c r="C23" s="131" t="s">
        <v>41</v>
      </c>
      <c r="D23" s="132"/>
      <c r="E23" s="133"/>
      <c r="F23" s="134">
        <f>F19+F16+F21</f>
        <v>1748.51</v>
      </c>
      <c r="G23" s="68"/>
      <c r="H23" s="239"/>
      <c r="I23" s="242">
        <f t="shared" ref="I23:R23" si="0">I19+I16+I21</f>
        <v>1750.77</v>
      </c>
      <c r="J23" s="68"/>
      <c r="K23" s="68"/>
      <c r="L23" s="68"/>
      <c r="M23" s="116">
        <f t="shared" si="0"/>
        <v>1801.1</v>
      </c>
      <c r="N23" s="68"/>
      <c r="O23" s="239"/>
      <c r="P23" s="242">
        <f t="shared" si="0"/>
        <v>1838.4299999999998</v>
      </c>
      <c r="Q23" s="239"/>
      <c r="R23" s="242">
        <f t="shared" si="0"/>
        <v>1875.79</v>
      </c>
      <c r="S23" s="68"/>
      <c r="T23" s="116">
        <f t="shared" ref="T23" si="1">T19+T16+T21</f>
        <v>1913.1699999999998</v>
      </c>
      <c r="U23" s="20"/>
    </row>
    <row r="24" spans="2:27" x14ac:dyDescent="0.25">
      <c r="B24" s="14"/>
      <c r="C24" s="19"/>
      <c r="D24" s="19"/>
      <c r="E24" s="27"/>
      <c r="F24" s="19"/>
      <c r="G24" s="19"/>
      <c r="H24" s="164"/>
      <c r="I24" s="214"/>
      <c r="J24" s="19"/>
      <c r="K24" s="19"/>
      <c r="L24" s="19"/>
      <c r="M24" s="19"/>
      <c r="N24" s="19"/>
      <c r="O24" s="164"/>
      <c r="P24" s="214"/>
      <c r="Q24" s="164"/>
      <c r="R24" s="214"/>
      <c r="S24" s="19"/>
      <c r="T24" s="19"/>
      <c r="U24" s="20"/>
    </row>
    <row r="25" spans="2:27" x14ac:dyDescent="0.25">
      <c r="B25" s="14"/>
      <c r="C25" s="37" t="s">
        <v>44</v>
      </c>
      <c r="D25" s="38"/>
      <c r="E25" s="39"/>
      <c r="F25" s="40">
        <v>2023</v>
      </c>
      <c r="G25" s="42"/>
      <c r="H25" s="259">
        <v>2024</v>
      </c>
      <c r="I25" s="260"/>
      <c r="J25" s="42"/>
      <c r="K25" s="42"/>
      <c r="L25" s="42"/>
      <c r="M25" s="40">
        <v>2025</v>
      </c>
      <c r="N25" s="40"/>
      <c r="O25" s="259">
        <v>2026</v>
      </c>
      <c r="P25" s="260"/>
      <c r="Q25" s="259">
        <v>2027</v>
      </c>
      <c r="R25" s="260"/>
      <c r="S25" s="259">
        <v>2028</v>
      </c>
      <c r="T25" s="257"/>
      <c r="U25" s="20"/>
    </row>
    <row r="26" spans="2:27" x14ac:dyDescent="0.25">
      <c r="B26" s="14"/>
      <c r="C26" s="73"/>
      <c r="D26" s="74"/>
      <c r="E26" s="206" t="s">
        <v>121</v>
      </c>
      <c r="F26" s="135"/>
      <c r="G26" s="19"/>
      <c r="H26" s="261">
        <v>45474</v>
      </c>
      <c r="I26" s="262"/>
      <c r="J26" s="19"/>
      <c r="K26" s="19"/>
      <c r="L26" s="19"/>
      <c r="M26" s="207">
        <v>45839</v>
      </c>
      <c r="N26" s="19"/>
      <c r="O26" s="261">
        <v>46204</v>
      </c>
      <c r="P26" s="262"/>
      <c r="Q26" s="266">
        <v>46569</v>
      </c>
      <c r="R26" s="267"/>
      <c r="S26" s="261">
        <v>46935</v>
      </c>
      <c r="T26" s="265"/>
      <c r="U26" s="20"/>
    </row>
    <row r="27" spans="2:27" x14ac:dyDescent="0.25">
      <c r="B27" s="14"/>
      <c r="C27" s="77" t="str">
        <f>+IF($D$4="West Hollywood","Not Applicable; City of Beverly Hills","Bi-Monthly Service Charge")</f>
        <v>Bi-Monthly Service Charge</v>
      </c>
      <c r="D27" s="19"/>
      <c r="E27" s="27"/>
      <c r="F27" s="136">
        <f>+IF($D$4="west hollywood",0,IF($D$4="",0,IF($D$5="",0,IF($D$6="",0,IF($D$7="",0,IF($D$8="",0,IF($D$10="",0,IF($D$4="West Hollywood",0,'back-up'!D44))))))))</f>
        <v>34.200000000000003</v>
      </c>
      <c r="G27" s="19"/>
      <c r="H27" s="164"/>
      <c r="I27" s="252">
        <f>+IF($D$4="west hollywood",0,IF($D$4="",0,IF($D$5="",0,IF($D$6="",0,IF($D$7="",0,IF($D$8="",0,IF($D$10="",0,IF($D$4="West Hollywood",0,'back-up'!F44))))))))</f>
        <v>40.08</v>
      </c>
      <c r="J27" s="77" t="str">
        <f>+IF($D$4="West Hollywood","Not Applicable; City of Beverly Hills does not ","Bi-Monthly Service Charge")</f>
        <v>Bi-Monthly Service Charge</v>
      </c>
      <c r="K27" s="19"/>
      <c r="L27" s="19"/>
      <c r="M27" s="136">
        <f>+IF($D$4="west hollywood",0,IF($D$4="",0,IF($D$5="",0,IF($D$6="",0,IF($D$7="",0,IF($D$8="",0,IF($D$10="",0,IF($D$4="West Hollywood",0,'back-up'!H44))))))))</f>
        <v>40.08</v>
      </c>
      <c r="N27" s="19"/>
      <c r="O27" s="164"/>
      <c r="P27" s="252">
        <f>+IF($D$4="west hollywood",0,IF($D$4="",0,IF($D$5="",0,IF($D$6="",0,IF($D$7="",0,IF($D$8="",0,IF($D$10="",0,IF($D$4="West Hollywood",0,'back-up'!J44))))))))</f>
        <v>40.08</v>
      </c>
      <c r="Q27" s="164"/>
      <c r="R27" s="252">
        <f>+IF($D$4="west hollywood",0,IF($D$4="",0,IF($D$5="",0,IF($D$6="",0,IF($D$7="",0,IF($D$8="",0,IF($D$10="",0,IF($D$4="West Hollywood",0,'back-up'!L44))))))))</f>
        <v>40.08</v>
      </c>
      <c r="S27" s="19"/>
      <c r="T27" s="136">
        <f>+IF($D$4="west hollywood",0,IF($D$4="",0,IF($D$5="",0,IF($D$6="",0,IF($D$7="",0,IF($D$8="",0,IF($D$10="",0,IF($D$4="West Hollywood",0,'back-up'!N44))))))))</f>
        <v>40.08</v>
      </c>
      <c r="U27" s="20"/>
    </row>
    <row r="28" spans="2:27" x14ac:dyDescent="0.25">
      <c r="B28" s="14"/>
      <c r="C28" s="77" t="str">
        <f>+IF($D$4="West Hollywood","does not provide Sewer service to West Hollywood","")</f>
        <v/>
      </c>
      <c r="D28" s="19"/>
      <c r="E28" s="27"/>
      <c r="F28" s="137"/>
      <c r="G28" s="19"/>
      <c r="H28" s="164"/>
      <c r="I28" s="214"/>
      <c r="J28" s="77" t="str">
        <f>+IF($D$4="West Hollywood","provide Sewer service to West Hollywood","")</f>
        <v/>
      </c>
      <c r="K28" s="19"/>
      <c r="L28" s="19"/>
      <c r="M28" s="19"/>
      <c r="N28" s="19"/>
      <c r="O28" s="164"/>
      <c r="P28" s="214"/>
      <c r="Q28" s="164"/>
      <c r="R28" s="214"/>
      <c r="S28" s="19"/>
      <c r="T28" s="19"/>
      <c r="U28" s="20"/>
    </row>
    <row r="29" spans="2:27" x14ac:dyDescent="0.25">
      <c r="B29" s="14"/>
      <c r="C29" s="77" t="str">
        <f>+IF($D$4="West Hollywood","","Quantity Charge")</f>
        <v>Quantity Charge</v>
      </c>
      <c r="D29" s="50"/>
      <c r="E29" s="50"/>
      <c r="F29" s="51"/>
      <c r="G29" s="19"/>
      <c r="H29" s="164"/>
      <c r="I29" s="214"/>
      <c r="J29" s="77" t="str">
        <f>+IF($D$4="West Hollywood","","Quantity Charge")</f>
        <v>Quantity Charge</v>
      </c>
      <c r="K29" s="19"/>
      <c r="L29" s="19"/>
      <c r="M29" s="19"/>
      <c r="N29" s="19"/>
      <c r="O29" s="164"/>
      <c r="P29" s="214"/>
      <c r="Q29" s="164"/>
      <c r="R29" s="214"/>
      <c r="S29" s="19"/>
      <c r="T29" s="19"/>
      <c r="U29" s="20"/>
    </row>
    <row r="30" spans="2:27" x14ac:dyDescent="0.25">
      <c r="B30" s="14"/>
      <c r="C30" s="80" t="str">
        <f>IF($D$4="West Hollywood","","Metered Water Use (hcf)")</f>
        <v>Metered Water Use (hcf)</v>
      </c>
      <c r="D30" s="50"/>
      <c r="E30" s="50"/>
      <c r="F30" s="138">
        <f>+IF($F$27=0,"",IF($D$4="West Hollywood","",IF($D$6="","",$D$6)))</f>
        <v>226</v>
      </c>
      <c r="G30" s="19"/>
      <c r="H30" s="164"/>
      <c r="I30" s="223">
        <f>+F30</f>
        <v>226</v>
      </c>
      <c r="J30" s="80" t="str">
        <f>IF($D$4="West Hollywood","","Metered Water Use (hcf)")</f>
        <v>Metered Water Use (hcf)</v>
      </c>
      <c r="K30" s="19"/>
      <c r="L30" s="19"/>
      <c r="M30" s="81">
        <f>+F30</f>
        <v>226</v>
      </c>
      <c r="N30" s="19"/>
      <c r="O30" s="164"/>
      <c r="P30" s="223">
        <f>+F30</f>
        <v>226</v>
      </c>
      <c r="Q30" s="164"/>
      <c r="R30" s="223">
        <f>+F30</f>
        <v>226</v>
      </c>
      <c r="S30" s="19"/>
      <c r="T30" s="81">
        <f>+I30</f>
        <v>226</v>
      </c>
      <c r="U30" s="20"/>
    </row>
    <row r="31" spans="2:27" x14ac:dyDescent="0.25">
      <c r="B31" s="14"/>
      <c r="C31" s="80" t="str">
        <f>IF($D$4="West Hollywood","","Return to Sewer Factor")</f>
        <v>Return to Sewer Factor</v>
      </c>
      <c r="D31" s="50"/>
      <c r="E31" s="50"/>
      <c r="F31" s="139">
        <f>IF($D$4="West Hollywood","",1)</f>
        <v>1</v>
      </c>
      <c r="G31" s="19"/>
      <c r="H31" s="164"/>
      <c r="I31" s="253">
        <f>IF($D$4="West Hollywood","",IF(D6="","",IF($D$8="yes",0.83,1)))</f>
        <v>0.83</v>
      </c>
      <c r="J31" s="80" t="str">
        <f>IF($D$4="West Hollywood","","Return to Sewer Factor")</f>
        <v>Return to Sewer Factor</v>
      </c>
      <c r="K31" s="19"/>
      <c r="L31" s="19"/>
      <c r="M31" s="140">
        <f>IF($D$4="West Hollywood","",IF(D6="","",IF($D$8="yes",0.83,1)))</f>
        <v>0.83</v>
      </c>
      <c r="N31" s="19"/>
      <c r="O31" s="164"/>
      <c r="P31" s="253">
        <f>+M31</f>
        <v>0.83</v>
      </c>
      <c r="Q31" s="164"/>
      <c r="R31" s="253">
        <f>+P31</f>
        <v>0.83</v>
      </c>
      <c r="S31" s="19"/>
      <c r="T31" s="140">
        <f>+I31</f>
        <v>0.83</v>
      </c>
      <c r="U31" s="20"/>
    </row>
    <row r="32" spans="2:27" x14ac:dyDescent="0.25">
      <c r="B32" s="14"/>
      <c r="C32" s="80" t="str">
        <f>IF($D$4="West Hollywood","","Sewered Flow (hcf)")</f>
        <v>Sewered Flow (hcf)</v>
      </c>
      <c r="D32" s="50"/>
      <c r="E32" s="50"/>
      <c r="F32" s="36">
        <f>IF(F30="","",ROUND(F30*F31,0))</f>
        <v>226</v>
      </c>
      <c r="G32" s="19"/>
      <c r="H32" s="164"/>
      <c r="I32" s="254">
        <f>IF(I30="","",ROUND(I30*I31,0))</f>
        <v>188</v>
      </c>
      <c r="J32" s="80" t="str">
        <f>IF($D$4="West Hollywood","","Sewered Flow (hcf)")</f>
        <v>Sewered Flow (hcf)</v>
      </c>
      <c r="K32" s="19"/>
      <c r="L32" s="19"/>
      <c r="M32" s="36">
        <f>IF(M30="","",ROUND(M30*M31,0))</f>
        <v>188</v>
      </c>
      <c r="N32" s="19"/>
      <c r="O32" s="164"/>
      <c r="P32" s="254">
        <f>IF(P30="","",ROUND(P30*P31,0))</f>
        <v>188</v>
      </c>
      <c r="Q32" s="164"/>
      <c r="R32" s="254">
        <f>IF(R30="","",ROUND(R30*R31,0))</f>
        <v>188</v>
      </c>
      <c r="S32" s="19"/>
      <c r="T32" s="36">
        <f>IF(T30="","",ROUND(T30*T31,0))</f>
        <v>188</v>
      </c>
      <c r="U32" s="20"/>
    </row>
    <row r="33" spans="2:23" x14ac:dyDescent="0.25">
      <c r="B33" s="14"/>
      <c r="C33" s="80" t="str">
        <f>IF($D$4="West Hollywood","",IF(D7="medium strength","Rate per hcf (2023 assumes low strength rate)","Rate per hcf"))</f>
        <v>Rate per hcf (2023 assumes low strength rate)</v>
      </c>
      <c r="D33" s="50"/>
      <c r="E33" s="50"/>
      <c r="F33" s="88">
        <f>IF(F32="","",IF($D$7="Low Strength",'back-up'!D50,IF($D$7="Medium Strength",'back-up'!D50,'back-up'!D52)))</f>
        <v>4.74</v>
      </c>
      <c r="G33" s="88"/>
      <c r="H33" s="228"/>
      <c r="I33" s="229">
        <f>IF(I32="","",IF($D$7="Low Strength",'back-up'!F50,IF($D$7="Medium Strength",'back-up'!F51,'back-up'!F52)))</f>
        <v>5.24</v>
      </c>
      <c r="J33" s="80" t="str">
        <f>IF($D$4="West Hollywood","","Rate per hcf")</f>
        <v>Rate per hcf</v>
      </c>
      <c r="K33" s="88"/>
      <c r="L33" s="88"/>
      <c r="M33" s="88">
        <f>IF(M32="","",IF($D$7="Low Strength",'back-up'!H50,IF($D$7="Medium Strength",'back-up'!H51,'back-up'!H52)))</f>
        <v>5.24</v>
      </c>
      <c r="N33" s="88"/>
      <c r="O33" s="228"/>
      <c r="P33" s="229">
        <f>IF(P32="","",IF($D$7="Low Strength",'back-up'!J50,IF($D$7="Medium Strength",'back-up'!J51,'back-up'!J52)))</f>
        <v>5.24</v>
      </c>
      <c r="Q33" s="228"/>
      <c r="R33" s="229">
        <f>IF(R32="","",IF($D$7="Low Strength",'back-up'!L50,IF($D$7="Medium Strength",'back-up'!L51,'back-up'!L52)))</f>
        <v>5.24</v>
      </c>
      <c r="S33" s="19"/>
      <c r="T33" s="88">
        <f>IF(T32="","",IF($D$7="Low Strength",'back-up'!N50,IF($D$7="Medium Strength",'back-up'!N51,'back-up'!N52)))</f>
        <v>5.24</v>
      </c>
      <c r="U33" s="20"/>
    </row>
    <row r="34" spans="2:23" x14ac:dyDescent="0.25">
      <c r="B34" s="14"/>
      <c r="C34" s="74"/>
      <c r="D34" s="54"/>
      <c r="E34" s="55"/>
      <c r="F34" s="141">
        <f>+IFERROR(IF(F27="","",IF(F32="",0,F33*F32)),0)</f>
        <v>1071.24</v>
      </c>
      <c r="G34" s="19"/>
      <c r="H34" s="164"/>
      <c r="I34" s="222">
        <f>+IF(I27="","",IF(I32="",0,I33*I32))</f>
        <v>985.12</v>
      </c>
      <c r="J34" s="19"/>
      <c r="K34" s="19"/>
      <c r="L34" s="19"/>
      <c r="M34" s="141">
        <f>+IF(M27="","",IF(M32="",0,M33*M32))</f>
        <v>985.12</v>
      </c>
      <c r="N34" s="19"/>
      <c r="O34" s="164"/>
      <c r="P34" s="222">
        <f>+IF(P27="","",IF(P32="",0,P33*P32))</f>
        <v>985.12</v>
      </c>
      <c r="Q34" s="164"/>
      <c r="R34" s="222">
        <f>+IF(R27="","",IF(R32="",0,R33*R32))</f>
        <v>985.12</v>
      </c>
      <c r="S34" s="19"/>
      <c r="T34" s="141">
        <f>+IF(T27="","",IF(T32="",0,T33*T32))</f>
        <v>985.12</v>
      </c>
      <c r="U34" s="20"/>
    </row>
    <row r="35" spans="2:23" x14ac:dyDescent="0.25">
      <c r="B35" s="14"/>
      <c r="C35" s="74"/>
      <c r="D35" s="19"/>
      <c r="E35" s="27"/>
      <c r="F35" s="137"/>
      <c r="G35" s="19"/>
      <c r="H35" s="164"/>
      <c r="I35" s="214"/>
      <c r="J35" s="19"/>
      <c r="K35" s="19"/>
      <c r="L35" s="19"/>
      <c r="M35" s="19"/>
      <c r="N35" s="19"/>
      <c r="O35" s="164"/>
      <c r="P35" s="214"/>
      <c r="Q35" s="164"/>
      <c r="R35" s="214"/>
      <c r="S35" s="19"/>
      <c r="T35" s="19"/>
      <c r="U35" s="20"/>
    </row>
    <row r="36" spans="2:23" x14ac:dyDescent="0.25">
      <c r="B36" s="12"/>
      <c r="C36" s="95" t="s">
        <v>52</v>
      </c>
      <c r="D36" s="96"/>
      <c r="E36" s="97"/>
      <c r="F36" s="98">
        <f>+F34+F27</f>
        <v>1105.44</v>
      </c>
      <c r="G36" s="123"/>
      <c r="H36" s="248"/>
      <c r="I36" s="255">
        <f>+I34+I27</f>
        <v>1025.2</v>
      </c>
      <c r="J36" s="99"/>
      <c r="K36" s="99"/>
      <c r="L36" s="99"/>
      <c r="M36" s="142">
        <f>+M34+M27</f>
        <v>1025.2</v>
      </c>
      <c r="N36" s="99"/>
      <c r="O36" s="231"/>
      <c r="P36" s="255">
        <f>+P34+P27</f>
        <v>1025.2</v>
      </c>
      <c r="Q36" s="231"/>
      <c r="R36" s="255">
        <f>+R34+R27</f>
        <v>1025.2</v>
      </c>
      <c r="S36" s="123"/>
      <c r="T36" s="142">
        <f>+T34+T27</f>
        <v>1025.2</v>
      </c>
      <c r="U36" s="20"/>
    </row>
    <row r="37" spans="2:23" x14ac:dyDescent="0.25">
      <c r="B37" s="14"/>
      <c r="C37" s="19"/>
      <c r="D37" s="19"/>
      <c r="E37" s="27"/>
      <c r="F37" s="19"/>
      <c r="G37" s="19"/>
      <c r="H37" s="164"/>
      <c r="I37" s="214"/>
      <c r="J37" s="19"/>
      <c r="K37" s="19"/>
      <c r="L37" s="19"/>
      <c r="M37" s="19"/>
      <c r="N37" s="19"/>
      <c r="O37" s="164"/>
      <c r="P37" s="214"/>
      <c r="Q37" s="164"/>
      <c r="R37" s="214"/>
      <c r="S37" s="19"/>
      <c r="T37" s="19"/>
      <c r="U37" s="20"/>
    </row>
    <row r="38" spans="2:23" x14ac:dyDescent="0.25">
      <c r="B38" s="14"/>
      <c r="C38" s="102" t="s">
        <v>55</v>
      </c>
      <c r="D38" s="102"/>
      <c r="E38" s="103"/>
      <c r="F38" s="104">
        <f>+F36+F23</f>
        <v>2853.95</v>
      </c>
      <c r="G38" s="105"/>
      <c r="H38" s="233"/>
      <c r="I38" s="234">
        <f>+I23+I36</f>
        <v>2775.9700000000003</v>
      </c>
      <c r="J38" s="105"/>
      <c r="K38" s="105"/>
      <c r="L38" s="105"/>
      <c r="M38" s="104">
        <f>+M23+M36</f>
        <v>2826.3</v>
      </c>
      <c r="N38" s="105"/>
      <c r="O38" s="233"/>
      <c r="P38" s="234">
        <f>+P23+P36</f>
        <v>2863.63</v>
      </c>
      <c r="Q38" s="233"/>
      <c r="R38" s="234">
        <f>+R23+R36</f>
        <v>2900.99</v>
      </c>
      <c r="S38" s="105"/>
      <c r="T38" s="104">
        <f>+T23+T36</f>
        <v>2938.37</v>
      </c>
      <c r="U38" s="20"/>
    </row>
    <row r="39" spans="2:23" ht="15.75" thickBot="1" x14ac:dyDescent="0.3">
      <c r="B39" s="106"/>
      <c r="C39" s="107"/>
      <c r="D39" s="107"/>
      <c r="E39" s="108"/>
      <c r="F39" s="107"/>
      <c r="G39" s="107"/>
      <c r="H39" s="172"/>
      <c r="I39" s="235"/>
      <c r="J39" s="107"/>
      <c r="K39" s="107"/>
      <c r="L39" s="107"/>
      <c r="M39" s="107"/>
      <c r="N39" s="107"/>
      <c r="O39" s="172"/>
      <c r="P39" s="235"/>
      <c r="Q39" s="172"/>
      <c r="R39" s="235"/>
      <c r="S39" s="107"/>
      <c r="T39" s="107"/>
      <c r="U39" s="109"/>
    </row>
    <row r="43" spans="2:23" x14ac:dyDescent="0.25">
      <c r="E43"/>
      <c r="I43" s="46"/>
    </row>
    <row r="44" spans="2:23" x14ac:dyDescent="0.25">
      <c r="E44"/>
      <c r="P44" s="251"/>
      <c r="Q44" s="251"/>
      <c r="R44" s="251"/>
      <c r="S44" s="251"/>
      <c r="T44" s="251"/>
      <c r="U44" s="251"/>
      <c r="V44" s="251"/>
      <c r="W44" s="251"/>
    </row>
    <row r="45" spans="2:23" x14ac:dyDescent="0.25">
      <c r="E45"/>
      <c r="P45" s="251"/>
      <c r="Q45" s="251"/>
      <c r="R45" s="251"/>
      <c r="S45" s="251"/>
      <c r="T45" s="251"/>
      <c r="U45" s="251"/>
      <c r="V45" s="251"/>
      <c r="W45" s="251"/>
    </row>
    <row r="46" spans="2:23" x14ac:dyDescent="0.25">
      <c r="P46" s="251"/>
      <c r="Q46" s="251"/>
      <c r="R46" s="251"/>
      <c r="S46" s="251"/>
      <c r="T46" s="251"/>
    </row>
    <row r="47" spans="2:23" x14ac:dyDescent="0.25">
      <c r="P47" s="251"/>
      <c r="Q47" s="251"/>
      <c r="R47" s="251"/>
      <c r="S47" s="251"/>
      <c r="T47" s="251"/>
    </row>
    <row r="48" spans="2:23" x14ac:dyDescent="0.25">
      <c r="P48" s="251"/>
      <c r="Q48" s="251"/>
      <c r="R48" s="251"/>
      <c r="S48" s="251"/>
      <c r="T48" s="251"/>
    </row>
  </sheetData>
  <sheetProtection algorithmName="SHA-512" hashValue="x2m3Oy5/3GDcXQXzIfwB4PuAJE1fs74QUbYvEaAye73UnmsRorvJitqr8pUmFs+d8cb/+vDNI6sPNjHfWrrhNw==" saltValue="oR5woTPzQAAqf1LhPKXVLg==" spinCount="100000" sheet="1" selectLockedCells="1"/>
  <dataConsolidate link="1"/>
  <mergeCells count="16">
    <mergeCell ref="H25:I25"/>
    <mergeCell ref="H14:I14"/>
    <mergeCell ref="H15:I15"/>
    <mergeCell ref="O14:P14"/>
    <mergeCell ref="O15:P15"/>
    <mergeCell ref="S14:T14"/>
    <mergeCell ref="S15:T15"/>
    <mergeCell ref="O25:P25"/>
    <mergeCell ref="Q25:R25"/>
    <mergeCell ref="S25:T25"/>
    <mergeCell ref="Q14:R14"/>
    <mergeCell ref="Q15:R15"/>
    <mergeCell ref="H26:I26"/>
    <mergeCell ref="O26:P26"/>
    <mergeCell ref="Q26:R26"/>
    <mergeCell ref="S26:T26"/>
  </mergeCells>
  <conditionalFormatting sqref="F23 F26 F29">
    <cfRule type="containsBlanks" dxfId="0" priority="1">
      <formula>LEN(TRIM(F23))=0</formula>
    </cfRule>
  </conditionalFormatting>
  <dataValidations count="4">
    <dataValidation type="list" allowBlank="1" showErrorMessage="1" prompt="Use drop down list to enter data" sqref="D4" xr:uid="{99D153E6-36F1-4964-BD02-2DC9F5F5BECA}">
      <formula1>"Beverly Hills, West Hollywood"</formula1>
    </dataValidation>
    <dataValidation type="whole" allowBlank="1" showInputMessage="1" showErrorMessage="1" error="Enter whole numbers only...no decimals" sqref="D9 D12" xr:uid="{EF561A72-C690-4143-B29E-65C50742DD08}">
      <formula1>0</formula1>
      <formula2>9999</formula2>
    </dataValidation>
    <dataValidation type="whole" operator="greaterThanOrEqual" allowBlank="1" showInputMessage="1" showErrorMessage="1" error="Enter whole numbers only...no decimals" sqref="D6" xr:uid="{204E8F43-FC72-4CE7-BFDF-678ABEC5940A}">
      <formula1>0</formula1>
    </dataValidation>
    <dataValidation allowBlank="1" showInputMessage="1" showErrorMessage="1" error="Enter whole numbers only...no decimals" sqref="D11" xr:uid="{9300D370-0E6C-4995-BAC0-86D132F8DDC7}"/>
  </dataValidations>
  <pageMargins left="0.7" right="0.7" top="0.75" bottom="0.75" header="0.3" footer="0.3"/>
  <pageSetup scale="58" orientation="landscape" r:id="rId1"/>
  <ignoredErrors>
    <ignoredError sqref="D11" unlockedFormula="1"/>
    <ignoredError sqref="R21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prompt="Use drop down list to enter data" xr:uid="{403DC7C0-F73E-4365-B7AA-68BC59C47D3E}">
          <x14:formula1>
            <xm:f>'back-up'!$B$5:$B$12</xm:f>
          </x14:formula1>
          <xm:sqref>D5</xm:sqref>
        </x14:dataValidation>
        <x14:dataValidation type="list" allowBlank="1" showInputMessage="1" showErrorMessage="1" xr:uid="{D9CE3FBE-0DF0-437B-9F84-317A6CBE7A28}">
          <x14:formula1>
            <xm:f>'back-up'!$P$50:$P$55</xm:f>
          </x14:formula1>
          <xm:sqref>D10</xm:sqref>
        </x14:dataValidation>
        <x14:dataValidation type="list" allowBlank="1" showErrorMessage="1" prompt="Use drop down list to enter data" xr:uid="{EF68173F-F7F7-47AE-B067-ECA68C39555A}">
          <x14:formula1>
            <xm:f>'back-up'!$P$41:$P$43</xm:f>
          </x14:formula1>
          <xm:sqref>D7</xm:sqref>
        </x14:dataValidation>
        <x14:dataValidation type="list" allowBlank="1" showInputMessage="1" showErrorMessage="1" error="Enter whole numbers only...no decimals" xr:uid="{46D17FFD-EB39-4CD2-B875-AD492438DEAD}">
          <x14:formula1>
            <xm:f>'back-up'!$T$43:$T$44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7826-2620-4641-8B6E-104253E3EAFA}">
  <dimension ref="B2:AT83"/>
  <sheetViews>
    <sheetView zoomScale="70" zoomScaleNormal="70" workbookViewId="0">
      <selection activeCell="R51" sqref="R51"/>
    </sheetView>
  </sheetViews>
  <sheetFormatPr defaultRowHeight="15" x14ac:dyDescent="0.25"/>
  <cols>
    <col min="2" max="2" width="20.42578125" customWidth="1"/>
    <col min="3" max="3" width="2.85546875" customWidth="1"/>
    <col min="4" max="4" width="11.5703125" customWidth="1"/>
    <col min="5" max="5" width="3" customWidth="1"/>
    <col min="6" max="6" width="11.5703125" customWidth="1"/>
    <col min="7" max="7" width="3" customWidth="1"/>
    <col min="8" max="8" width="11.5703125" customWidth="1"/>
    <col min="9" max="9" width="3" customWidth="1"/>
    <col min="10" max="10" width="11.5703125" customWidth="1"/>
    <col min="11" max="11" width="3" customWidth="1"/>
    <col min="12" max="12" width="11.5703125" customWidth="1"/>
    <col min="13" max="13" width="3" customWidth="1"/>
    <col min="14" max="14" width="12" customWidth="1"/>
    <col min="16" max="16" width="17.5703125" customWidth="1"/>
    <col min="17" max="17" width="3" customWidth="1"/>
    <col min="19" max="19" width="3" customWidth="1"/>
    <col min="21" max="21" width="3" customWidth="1"/>
    <col min="23" max="23" width="3" customWidth="1"/>
    <col min="25" max="25" width="3" customWidth="1"/>
    <col min="41" max="46" width="9.42578125" bestFit="1" customWidth="1"/>
  </cols>
  <sheetData>
    <row r="2" spans="2:14" ht="15.75" thickBot="1" x14ac:dyDescent="0.3"/>
    <row r="3" spans="2:14" x14ac:dyDescent="0.25">
      <c r="B3" s="2" t="s">
        <v>1</v>
      </c>
      <c r="C3" s="3"/>
      <c r="D3" s="4" t="s">
        <v>2</v>
      </c>
      <c r="E3" s="5"/>
      <c r="F3" s="6">
        <v>45474</v>
      </c>
      <c r="G3" s="5"/>
      <c r="H3" s="6">
        <v>45658</v>
      </c>
      <c r="I3" s="5"/>
      <c r="J3" s="6">
        <v>46023</v>
      </c>
      <c r="K3" s="5"/>
      <c r="L3" s="6">
        <v>46388</v>
      </c>
      <c r="M3" s="5"/>
      <c r="N3" s="7">
        <v>46753</v>
      </c>
    </row>
    <row r="4" spans="2:14" x14ac:dyDescent="0.25">
      <c r="B4" s="12" t="s">
        <v>3</v>
      </c>
      <c r="H4" s="202"/>
      <c r="N4" s="13"/>
    </row>
    <row r="5" spans="2:14" x14ac:dyDescent="0.25">
      <c r="B5" s="21" t="s">
        <v>5</v>
      </c>
      <c r="D5" s="189">
        <v>53.51</v>
      </c>
      <c r="E5" s="189"/>
      <c r="F5" s="189">
        <f t="shared" ref="F5:F12" si="0">+D5</f>
        <v>53.51</v>
      </c>
      <c r="G5" s="189"/>
      <c r="H5" s="190">
        <v>58.64</v>
      </c>
      <c r="J5" s="189">
        <v>59.81</v>
      </c>
      <c r="L5" s="189">
        <v>61.01</v>
      </c>
      <c r="N5" s="22">
        <v>62.23</v>
      </c>
    </row>
    <row r="6" spans="2:14" x14ac:dyDescent="0.25">
      <c r="B6" s="21" t="s">
        <v>7</v>
      </c>
      <c r="D6" s="189">
        <v>93.84</v>
      </c>
      <c r="E6" s="189"/>
      <c r="F6" s="189">
        <f t="shared" si="0"/>
        <v>93.84</v>
      </c>
      <c r="G6" s="189"/>
      <c r="H6" s="190">
        <v>100.69</v>
      </c>
      <c r="J6" s="189">
        <v>102.7</v>
      </c>
      <c r="L6" s="189">
        <v>104.75</v>
      </c>
      <c r="N6" s="22">
        <v>106.85</v>
      </c>
    </row>
    <row r="7" spans="2:14" x14ac:dyDescent="0.25">
      <c r="B7" s="21" t="s">
        <v>10</v>
      </c>
      <c r="D7" s="189">
        <v>142.24</v>
      </c>
      <c r="E7" s="189"/>
      <c r="F7" s="189">
        <f t="shared" si="0"/>
        <v>142.24</v>
      </c>
      <c r="G7" s="189"/>
      <c r="H7" s="190">
        <v>151.15</v>
      </c>
      <c r="J7" s="189">
        <v>154.16999999999999</v>
      </c>
      <c r="L7" s="189">
        <v>157.25</v>
      </c>
      <c r="N7" s="22">
        <v>160.4</v>
      </c>
    </row>
    <row r="8" spans="2:14" x14ac:dyDescent="0.25">
      <c r="B8" s="21" t="s">
        <v>13</v>
      </c>
      <c r="D8" s="189">
        <v>271.3</v>
      </c>
      <c r="E8" s="189"/>
      <c r="F8" s="189">
        <f t="shared" si="0"/>
        <v>271.3</v>
      </c>
      <c r="G8" s="189"/>
      <c r="H8" s="190">
        <v>285.72000000000003</v>
      </c>
      <c r="J8" s="189">
        <v>291.43</v>
      </c>
      <c r="L8" s="189">
        <v>297.26</v>
      </c>
      <c r="N8" s="22">
        <v>303.20999999999998</v>
      </c>
    </row>
    <row r="9" spans="2:14" x14ac:dyDescent="0.25">
      <c r="B9" s="21" t="s">
        <v>15</v>
      </c>
      <c r="D9" s="189">
        <v>416.5</v>
      </c>
      <c r="E9" s="189"/>
      <c r="F9" s="189">
        <f t="shared" si="0"/>
        <v>416.5</v>
      </c>
      <c r="G9" s="189"/>
      <c r="H9" s="190">
        <v>437.11</v>
      </c>
      <c r="J9" s="189">
        <v>445.85</v>
      </c>
      <c r="L9" s="189">
        <v>454.77</v>
      </c>
      <c r="N9" s="22">
        <v>463.87</v>
      </c>
    </row>
    <row r="10" spans="2:14" x14ac:dyDescent="0.25">
      <c r="B10" s="21" t="s">
        <v>18</v>
      </c>
      <c r="D10" s="189">
        <v>819.82</v>
      </c>
      <c r="E10" s="189"/>
      <c r="F10" s="189">
        <f t="shared" si="0"/>
        <v>819.82</v>
      </c>
      <c r="G10" s="189"/>
      <c r="H10" s="190">
        <v>857.63</v>
      </c>
      <c r="J10" s="189">
        <v>874.78</v>
      </c>
      <c r="L10" s="189">
        <v>892.28</v>
      </c>
      <c r="N10" s="22">
        <v>910.13</v>
      </c>
    </row>
    <row r="11" spans="2:14" x14ac:dyDescent="0.25">
      <c r="B11" s="21" t="s">
        <v>85</v>
      </c>
      <c r="D11" s="189">
        <v>1311.7120000000002</v>
      </c>
      <c r="E11" s="189"/>
      <c r="F11" s="189">
        <f t="shared" si="0"/>
        <v>1311.7120000000002</v>
      </c>
      <c r="G11" s="189"/>
      <c r="H11" s="190">
        <v>1362.26</v>
      </c>
      <c r="J11" s="189">
        <v>1389.51</v>
      </c>
      <c r="L11" s="189">
        <v>1417.3</v>
      </c>
      <c r="N11" s="22">
        <v>1445.65</v>
      </c>
    </row>
    <row r="12" spans="2:14" x14ac:dyDescent="0.25">
      <c r="B12" s="21" t="s">
        <v>87</v>
      </c>
      <c r="D12" s="189">
        <v>1967.5680000000002</v>
      </c>
      <c r="E12" s="189"/>
      <c r="F12" s="189">
        <f t="shared" si="0"/>
        <v>1967.5680000000002</v>
      </c>
      <c r="G12" s="189"/>
      <c r="H12" s="190">
        <v>3548.99</v>
      </c>
      <c r="J12" s="189">
        <v>3619.97</v>
      </c>
      <c r="L12" s="189">
        <v>3692.37</v>
      </c>
      <c r="N12" s="22">
        <v>3766.22</v>
      </c>
    </row>
    <row r="13" spans="2:14" x14ac:dyDescent="0.25">
      <c r="B13" s="191" t="s">
        <v>118</v>
      </c>
      <c r="C13" s="192"/>
      <c r="D13" s="193"/>
      <c r="E13" s="193"/>
      <c r="F13" s="193"/>
      <c r="G13" s="193"/>
      <c r="H13" s="194"/>
      <c r="I13" s="193"/>
      <c r="J13" s="193"/>
      <c r="K13" s="193"/>
      <c r="L13" s="193"/>
      <c r="M13" s="193"/>
      <c r="N13" s="195"/>
    </row>
    <row r="14" spans="2:14" x14ac:dyDescent="0.25">
      <c r="B14" s="12" t="s">
        <v>20</v>
      </c>
      <c r="D14" s="189"/>
      <c r="E14" s="189"/>
      <c r="F14" s="189"/>
      <c r="G14" s="189"/>
      <c r="H14" s="190"/>
      <c r="I14" s="189"/>
      <c r="J14" s="189"/>
      <c r="K14" s="189"/>
      <c r="L14" s="189"/>
      <c r="M14" s="189"/>
      <c r="N14" s="22"/>
    </row>
    <row r="15" spans="2:14" x14ac:dyDescent="0.25">
      <c r="B15" s="21" t="s">
        <v>22</v>
      </c>
      <c r="D15" s="189">
        <v>3.65</v>
      </c>
      <c r="E15" s="189"/>
      <c r="F15" s="189">
        <f>+D15</f>
        <v>3.65</v>
      </c>
      <c r="G15" s="189"/>
      <c r="H15" s="190">
        <v>3.75</v>
      </c>
      <c r="J15" s="189">
        <v>3.83</v>
      </c>
      <c r="L15" s="189">
        <v>3.91</v>
      </c>
      <c r="N15" s="22">
        <v>3.99</v>
      </c>
    </row>
    <row r="16" spans="2:14" x14ac:dyDescent="0.25">
      <c r="B16" s="45" t="s">
        <v>23</v>
      </c>
      <c r="C16" s="46"/>
      <c r="D16" s="189">
        <v>7.12</v>
      </c>
      <c r="E16" s="189"/>
      <c r="F16" s="189">
        <f>+D16</f>
        <v>7.12</v>
      </c>
      <c r="G16" s="189"/>
      <c r="H16" s="190">
        <v>6.36</v>
      </c>
      <c r="J16" s="189">
        <v>6.49</v>
      </c>
      <c r="L16" s="189">
        <v>6.62</v>
      </c>
      <c r="N16" s="22">
        <v>6.75</v>
      </c>
    </row>
    <row r="17" spans="2:14" x14ac:dyDescent="0.25">
      <c r="B17" s="45" t="s">
        <v>25</v>
      </c>
      <c r="D17" s="189">
        <v>10.48</v>
      </c>
      <c r="F17" s="189">
        <f>+D17</f>
        <v>10.48</v>
      </c>
      <c r="H17" s="190">
        <v>10.52</v>
      </c>
      <c r="J17" s="189">
        <v>10.73</v>
      </c>
      <c r="L17" s="189">
        <v>10.94</v>
      </c>
      <c r="N17" s="22">
        <v>11.16</v>
      </c>
    </row>
    <row r="18" spans="2:14" x14ac:dyDescent="0.25">
      <c r="B18" s="45" t="s">
        <v>26</v>
      </c>
      <c r="D18" s="189">
        <v>14.87</v>
      </c>
      <c r="F18" s="189">
        <f>+D18</f>
        <v>14.87</v>
      </c>
      <c r="H18" s="190">
        <v>14.94</v>
      </c>
      <c r="J18" s="189">
        <v>15.24</v>
      </c>
      <c r="L18" s="189">
        <v>15.54</v>
      </c>
      <c r="N18" s="22">
        <v>15.85</v>
      </c>
    </row>
    <row r="19" spans="2:14" x14ac:dyDescent="0.25">
      <c r="B19" s="12"/>
      <c r="H19" s="202"/>
      <c r="N19" s="13"/>
    </row>
    <row r="20" spans="2:14" x14ac:dyDescent="0.25">
      <c r="B20" s="12" t="s">
        <v>33</v>
      </c>
      <c r="D20" s="189"/>
      <c r="E20" s="189"/>
      <c r="F20" s="189"/>
      <c r="G20" s="189"/>
      <c r="H20" s="190"/>
      <c r="I20" s="189"/>
      <c r="J20" s="189"/>
      <c r="K20" s="189"/>
      <c r="L20" s="189"/>
      <c r="M20" s="189"/>
      <c r="N20" s="22"/>
    </row>
    <row r="21" spans="2:14" x14ac:dyDescent="0.25">
      <c r="B21" s="21" t="s">
        <v>22</v>
      </c>
      <c r="D21" s="189">
        <v>4.54</v>
      </c>
      <c r="E21" s="189"/>
      <c r="F21" s="189">
        <f>+D21</f>
        <v>4.54</v>
      </c>
      <c r="G21" s="189"/>
      <c r="H21" s="190">
        <v>4.43</v>
      </c>
      <c r="J21" s="189">
        <v>4.5199999999999996</v>
      </c>
      <c r="L21" s="189">
        <v>4.6100000000000003</v>
      </c>
      <c r="N21" s="22">
        <v>4.7</v>
      </c>
    </row>
    <row r="22" spans="2:14" x14ac:dyDescent="0.25">
      <c r="B22" s="45" t="s">
        <v>23</v>
      </c>
      <c r="D22" s="189">
        <v>8.01</v>
      </c>
      <c r="F22" s="189">
        <f>+D22</f>
        <v>8.01</v>
      </c>
      <c r="H22" s="190">
        <v>7.04</v>
      </c>
      <c r="J22" s="189">
        <v>7.18</v>
      </c>
      <c r="L22" s="189">
        <v>7.32</v>
      </c>
      <c r="N22" s="22">
        <v>7.47</v>
      </c>
    </row>
    <row r="23" spans="2:14" x14ac:dyDescent="0.25">
      <c r="B23" s="45" t="s">
        <v>25</v>
      </c>
      <c r="D23" s="189">
        <v>11.36</v>
      </c>
      <c r="F23" s="189">
        <f>+D23</f>
        <v>11.36</v>
      </c>
      <c r="H23" s="190">
        <v>11.2</v>
      </c>
      <c r="J23" s="189">
        <v>11.42</v>
      </c>
      <c r="L23" s="189">
        <v>11.65</v>
      </c>
      <c r="N23" s="22">
        <v>11.88</v>
      </c>
    </row>
    <row r="24" spans="2:14" ht="15.75" thickBot="1" x14ac:dyDescent="0.3">
      <c r="B24" s="60" t="s">
        <v>26</v>
      </c>
      <c r="C24" s="61"/>
      <c r="D24" s="62">
        <v>15.77</v>
      </c>
      <c r="E24" s="61"/>
      <c r="F24" s="62">
        <f>+D24</f>
        <v>15.77</v>
      </c>
      <c r="G24" s="61"/>
      <c r="H24" s="63">
        <v>15.62</v>
      </c>
      <c r="I24" s="61"/>
      <c r="J24" s="62">
        <v>15.93</v>
      </c>
      <c r="K24" s="61"/>
      <c r="L24" s="62">
        <v>16.25</v>
      </c>
      <c r="M24" s="61"/>
      <c r="N24" s="64">
        <v>16.579999999999998</v>
      </c>
    </row>
    <row r="25" spans="2:14" x14ac:dyDescent="0.25">
      <c r="B25" s="196" t="s">
        <v>105</v>
      </c>
      <c r="N25" s="13"/>
    </row>
    <row r="26" spans="2:14" x14ac:dyDescent="0.25">
      <c r="B26" s="12" t="s">
        <v>20</v>
      </c>
      <c r="D26" s="189"/>
      <c r="E26" s="189"/>
      <c r="F26" s="189"/>
      <c r="G26" s="189"/>
      <c r="H26" s="190"/>
      <c r="I26" s="189"/>
      <c r="J26" s="189"/>
      <c r="K26" s="189"/>
      <c r="L26" s="189"/>
      <c r="M26" s="189"/>
      <c r="N26" s="22"/>
    </row>
    <row r="27" spans="2:14" x14ac:dyDescent="0.25">
      <c r="B27" s="21" t="s">
        <v>67</v>
      </c>
      <c r="D27" s="189">
        <v>4.66</v>
      </c>
      <c r="E27" s="189"/>
      <c r="F27" s="189">
        <f>+D27</f>
        <v>4.66</v>
      </c>
      <c r="G27" s="189"/>
      <c r="H27" s="190">
        <v>5.0599999999999996</v>
      </c>
      <c r="J27" s="189">
        <v>5.16</v>
      </c>
      <c r="L27" s="189">
        <v>5.26</v>
      </c>
      <c r="N27" s="22">
        <v>5.37</v>
      </c>
    </row>
    <row r="28" spans="2:14" x14ac:dyDescent="0.25">
      <c r="B28" s="45" t="s">
        <v>68</v>
      </c>
      <c r="C28" s="46"/>
      <c r="D28" s="189">
        <v>13.31</v>
      </c>
      <c r="E28" s="189"/>
      <c r="F28" s="189">
        <f>+D28</f>
        <v>13.31</v>
      </c>
      <c r="G28" s="189"/>
      <c r="H28" s="190">
        <v>14.73</v>
      </c>
      <c r="J28" s="189">
        <v>15.02</v>
      </c>
      <c r="L28" s="189">
        <v>15.32</v>
      </c>
      <c r="N28" s="22">
        <v>15.63</v>
      </c>
    </row>
    <row r="29" spans="2:14" x14ac:dyDescent="0.25">
      <c r="B29" s="12"/>
      <c r="H29" s="202"/>
      <c r="N29" s="13"/>
    </row>
    <row r="30" spans="2:14" x14ac:dyDescent="0.25">
      <c r="B30" s="12" t="s">
        <v>33</v>
      </c>
      <c r="D30" s="189"/>
      <c r="E30" s="189"/>
      <c r="F30" s="189"/>
      <c r="G30" s="189"/>
      <c r="H30" s="190"/>
      <c r="I30" s="189"/>
      <c r="J30" s="189"/>
      <c r="K30" s="189"/>
      <c r="L30" s="189"/>
      <c r="M30" s="189"/>
      <c r="N30" s="22"/>
    </row>
    <row r="31" spans="2:14" x14ac:dyDescent="0.25">
      <c r="B31" s="21" t="s">
        <v>67</v>
      </c>
      <c r="D31" s="189">
        <v>5.55</v>
      </c>
      <c r="E31" s="189"/>
      <c r="F31" s="189">
        <f>+D31</f>
        <v>5.55</v>
      </c>
      <c r="G31" s="189"/>
      <c r="H31" s="190">
        <v>5.74</v>
      </c>
      <c r="J31" s="189">
        <v>5.85</v>
      </c>
      <c r="L31" s="189">
        <v>5.97</v>
      </c>
      <c r="N31" s="22">
        <v>6.09</v>
      </c>
    </row>
    <row r="32" spans="2:14" ht="15.75" thickBot="1" x14ac:dyDescent="0.3">
      <c r="B32" s="60" t="s">
        <v>68</v>
      </c>
      <c r="C32" s="61"/>
      <c r="D32" s="62">
        <v>14.19</v>
      </c>
      <c r="E32" s="61"/>
      <c r="F32" s="62">
        <f>+D32</f>
        <v>14.19</v>
      </c>
      <c r="G32" s="61"/>
      <c r="H32" s="63">
        <v>15.41</v>
      </c>
      <c r="I32" s="61"/>
      <c r="J32" s="62">
        <v>15.72</v>
      </c>
      <c r="K32" s="61"/>
      <c r="L32" s="62">
        <v>16.03</v>
      </c>
      <c r="M32" s="61"/>
      <c r="N32" s="64">
        <v>16.350000000000001</v>
      </c>
    </row>
    <row r="33" spans="2:46" x14ac:dyDescent="0.25">
      <c r="B33" s="197" t="s">
        <v>46</v>
      </c>
      <c r="C33" s="198"/>
      <c r="D33" s="199"/>
      <c r="E33" s="198"/>
      <c r="F33" s="199"/>
      <c r="G33" s="198"/>
      <c r="H33" s="200"/>
      <c r="I33" s="198"/>
      <c r="J33" s="199"/>
      <c r="K33" s="198"/>
      <c r="L33" s="199"/>
      <c r="M33" s="198"/>
      <c r="N33" s="201"/>
      <c r="R33" s="71"/>
    </row>
    <row r="34" spans="2:46" x14ac:dyDescent="0.25">
      <c r="B34" s="12" t="s">
        <v>20</v>
      </c>
      <c r="D34" s="189"/>
      <c r="E34" s="189"/>
      <c r="F34" s="189"/>
      <c r="G34" s="189"/>
      <c r="H34" s="190"/>
      <c r="I34" s="189"/>
      <c r="J34" s="189"/>
      <c r="K34" s="189"/>
      <c r="L34" s="189"/>
      <c r="M34" s="189"/>
      <c r="N34" s="22"/>
      <c r="R34" s="71"/>
    </row>
    <row r="35" spans="2:46" x14ac:dyDescent="0.25">
      <c r="B35" s="21" t="s">
        <v>46</v>
      </c>
      <c r="D35" s="189">
        <v>7.24</v>
      </c>
      <c r="E35" s="189"/>
      <c r="F35" s="189">
        <v>7.24</v>
      </c>
      <c r="G35" s="189"/>
      <c r="H35" s="190">
        <v>7.43</v>
      </c>
      <c r="J35" s="189">
        <v>7.58</v>
      </c>
      <c r="L35" s="189">
        <v>7.73</v>
      </c>
      <c r="N35" s="22">
        <v>7.88</v>
      </c>
      <c r="R35" s="71"/>
      <c r="S35" s="71"/>
      <c r="T35" s="71"/>
      <c r="U35" s="71"/>
      <c r="W35" s="71"/>
      <c r="X35" s="71"/>
      <c r="Y35" s="71"/>
    </row>
    <row r="36" spans="2:46" x14ac:dyDescent="0.25">
      <c r="B36" s="129"/>
      <c r="C36" s="46"/>
      <c r="D36" s="189"/>
      <c r="E36" s="189"/>
      <c r="F36" s="189"/>
      <c r="G36" s="189"/>
      <c r="H36" s="190"/>
      <c r="I36" s="189"/>
      <c r="J36" s="189"/>
      <c r="K36" s="189"/>
      <c r="L36" s="189"/>
      <c r="M36" s="189"/>
      <c r="N36" s="22"/>
      <c r="R36" s="71"/>
      <c r="S36" s="71"/>
      <c r="T36" s="71"/>
      <c r="U36" s="71"/>
      <c r="W36" s="71"/>
      <c r="X36" s="71"/>
      <c r="Y36" s="71"/>
    </row>
    <row r="37" spans="2:46" x14ac:dyDescent="0.25">
      <c r="B37" s="12" t="s">
        <v>33</v>
      </c>
      <c r="D37" s="189"/>
      <c r="E37" s="189"/>
      <c r="F37" s="189"/>
      <c r="G37" s="189"/>
      <c r="H37" s="190"/>
      <c r="I37" s="189"/>
      <c r="J37" s="189"/>
      <c r="K37" s="189"/>
      <c r="L37" s="189"/>
      <c r="M37" s="189"/>
      <c r="N37" s="22"/>
      <c r="R37" s="71"/>
      <c r="S37" s="71"/>
      <c r="T37" s="71"/>
      <c r="U37" s="71"/>
      <c r="W37" s="71"/>
      <c r="X37" s="71"/>
      <c r="Y37" s="71"/>
    </row>
    <row r="38" spans="2:46" ht="15.75" thickBot="1" x14ac:dyDescent="0.3">
      <c r="B38" s="60" t="s">
        <v>46</v>
      </c>
      <c r="C38" s="61"/>
      <c r="D38" s="62">
        <v>8.14</v>
      </c>
      <c r="E38" s="62"/>
      <c r="F38" s="62">
        <v>8.14</v>
      </c>
      <c r="G38" s="62"/>
      <c r="H38" s="63">
        <v>8.11</v>
      </c>
      <c r="I38" s="61"/>
      <c r="J38" s="62">
        <v>8.27</v>
      </c>
      <c r="K38" s="61"/>
      <c r="L38" s="62">
        <v>8.44</v>
      </c>
      <c r="M38" s="61"/>
      <c r="N38" s="64">
        <v>8.61</v>
      </c>
      <c r="R38" s="71"/>
    </row>
    <row r="39" spans="2:46" ht="15.75" thickBot="1" x14ac:dyDescent="0.3">
      <c r="P39" s="185" t="s">
        <v>119</v>
      </c>
      <c r="R39" s="71"/>
      <c r="S39" s="71"/>
      <c r="T39" s="71"/>
      <c r="U39" s="71"/>
      <c r="V39" s="71"/>
      <c r="W39" s="71"/>
      <c r="X39" s="71"/>
      <c r="Y39" s="71"/>
    </row>
    <row r="40" spans="2:46" x14ac:dyDescent="0.25">
      <c r="B40" s="2" t="s">
        <v>1</v>
      </c>
      <c r="C40" s="3"/>
      <c r="D40" s="4" t="s">
        <v>2</v>
      </c>
      <c r="E40" s="5"/>
      <c r="F40" s="6">
        <v>45474</v>
      </c>
      <c r="G40" s="5"/>
      <c r="H40" s="6">
        <v>45658</v>
      </c>
      <c r="I40" s="5"/>
      <c r="J40" s="6">
        <v>46023</v>
      </c>
      <c r="K40" s="5"/>
      <c r="L40" s="66">
        <v>46388</v>
      </c>
      <c r="M40" s="5"/>
      <c r="N40" s="7">
        <v>46753</v>
      </c>
      <c r="R40" s="71"/>
      <c r="S40" s="71"/>
      <c r="T40" s="71"/>
      <c r="U40" s="71"/>
      <c r="V40" s="71"/>
      <c r="W40" s="71"/>
      <c r="X40" s="71"/>
      <c r="Y40" s="71"/>
    </row>
    <row r="41" spans="2:46" x14ac:dyDescent="0.25">
      <c r="B41" s="12" t="s">
        <v>42</v>
      </c>
      <c r="N41" s="13"/>
      <c r="P41" t="s">
        <v>81</v>
      </c>
      <c r="R41" s="71"/>
      <c r="S41" s="71"/>
      <c r="T41" s="71"/>
      <c r="U41" s="71"/>
      <c r="V41" s="71"/>
      <c r="W41" s="71"/>
      <c r="X41" s="71"/>
      <c r="Y41" s="71"/>
      <c r="AO41" s="189"/>
      <c r="AP41" s="189"/>
      <c r="AQ41" s="189"/>
      <c r="AR41" s="189"/>
      <c r="AS41" s="189"/>
      <c r="AT41" s="189"/>
    </row>
    <row r="42" spans="2:46" x14ac:dyDescent="0.25">
      <c r="B42" s="21" t="s">
        <v>43</v>
      </c>
      <c r="D42" s="71">
        <v>87.38</v>
      </c>
      <c r="F42" s="71">
        <v>77.92</v>
      </c>
      <c r="H42" s="71">
        <v>68.459999999999994</v>
      </c>
      <c r="J42" s="71">
        <v>59</v>
      </c>
      <c r="L42" s="71">
        <v>49.54</v>
      </c>
      <c r="N42" s="72">
        <v>40.08</v>
      </c>
      <c r="P42" t="s">
        <v>88</v>
      </c>
      <c r="R42" s="71"/>
      <c r="S42" s="71"/>
      <c r="U42" s="71"/>
      <c r="V42" s="71"/>
      <c r="W42" s="71"/>
      <c r="X42" s="71"/>
      <c r="Y42" s="71"/>
      <c r="AO42" s="189"/>
      <c r="AP42" s="189"/>
      <c r="AQ42" s="189"/>
      <c r="AR42" s="189"/>
      <c r="AS42" s="189"/>
      <c r="AT42" s="189"/>
    </row>
    <row r="43" spans="2:46" x14ac:dyDescent="0.25">
      <c r="B43" s="21" t="s">
        <v>45</v>
      </c>
      <c r="D43" s="71">
        <v>87.38</v>
      </c>
      <c r="F43" s="71">
        <v>77.92</v>
      </c>
      <c r="H43" s="71">
        <v>68.459999999999994</v>
      </c>
      <c r="J43" s="71">
        <v>59</v>
      </c>
      <c r="L43" s="71">
        <v>49.54</v>
      </c>
      <c r="N43" s="72">
        <v>40.08</v>
      </c>
      <c r="P43" t="s">
        <v>89</v>
      </c>
      <c r="R43" s="71"/>
      <c r="S43" s="71"/>
      <c r="T43" s="1" t="s">
        <v>17</v>
      </c>
      <c r="U43" s="71"/>
      <c r="V43" s="71"/>
      <c r="W43" s="71"/>
      <c r="X43" s="71"/>
      <c r="Y43" s="71"/>
      <c r="AO43" s="189"/>
      <c r="AP43" s="189"/>
      <c r="AQ43" s="189"/>
      <c r="AR43" s="189"/>
      <c r="AS43" s="189"/>
      <c r="AT43" s="189"/>
    </row>
    <row r="44" spans="2:46" x14ac:dyDescent="0.25">
      <c r="B44" s="21" t="s">
        <v>46</v>
      </c>
      <c r="D44" s="71">
        <v>34.200000000000003</v>
      </c>
      <c r="F44" s="71">
        <v>40.08</v>
      </c>
      <c r="H44" s="71">
        <v>40.08</v>
      </c>
      <c r="J44" s="71">
        <v>40.08</v>
      </c>
      <c r="L44" s="71">
        <v>40.08</v>
      </c>
      <c r="N44" s="72">
        <v>40.08</v>
      </c>
      <c r="T44" s="1" t="s">
        <v>57</v>
      </c>
      <c r="AO44" s="189"/>
      <c r="AP44" s="189"/>
      <c r="AQ44" s="189"/>
      <c r="AR44" s="189"/>
      <c r="AS44" s="189"/>
      <c r="AT44" s="189"/>
    </row>
    <row r="45" spans="2:46" x14ac:dyDescent="0.25">
      <c r="B45" s="21"/>
      <c r="D45" s="71"/>
      <c r="F45" s="71"/>
      <c r="H45" s="71"/>
      <c r="J45" s="71"/>
      <c r="L45" s="71"/>
      <c r="N45" s="72"/>
      <c r="AO45" s="189"/>
      <c r="AP45" s="189"/>
      <c r="AQ45" s="189"/>
      <c r="AR45" s="189"/>
      <c r="AS45" s="189"/>
      <c r="AT45" s="189"/>
    </row>
    <row r="46" spans="2:46" x14ac:dyDescent="0.25">
      <c r="B46" s="12"/>
      <c r="N46" s="13"/>
      <c r="AO46" s="189"/>
      <c r="AP46" s="189"/>
      <c r="AQ46" s="189"/>
      <c r="AR46" s="189"/>
      <c r="AS46" s="189"/>
      <c r="AT46" s="189"/>
    </row>
    <row r="47" spans="2:46" x14ac:dyDescent="0.25">
      <c r="B47" s="12" t="s">
        <v>47</v>
      </c>
      <c r="N47" s="13"/>
      <c r="P47" s="185" t="s">
        <v>113</v>
      </c>
      <c r="AO47" s="189"/>
      <c r="AP47" s="189"/>
      <c r="AQ47" s="189"/>
      <c r="AR47" s="189"/>
      <c r="AS47" s="189"/>
      <c r="AT47" s="189"/>
    </row>
    <row r="48" spans="2:46" x14ac:dyDescent="0.25">
      <c r="B48" s="21" t="s">
        <v>43</v>
      </c>
      <c r="D48" s="89" t="s">
        <v>50</v>
      </c>
      <c r="F48" s="71">
        <v>0.72</v>
      </c>
      <c r="H48" s="71">
        <v>1.43</v>
      </c>
      <c r="J48" s="71">
        <v>2.15</v>
      </c>
      <c r="L48" s="71">
        <v>2.86</v>
      </c>
      <c r="N48" s="72">
        <v>3.58</v>
      </c>
      <c r="AO48" s="189"/>
      <c r="AP48" s="189"/>
      <c r="AQ48" s="189"/>
      <c r="AR48" s="189"/>
      <c r="AS48" s="189"/>
      <c r="AT48" s="189"/>
    </row>
    <row r="49" spans="2:22" x14ac:dyDescent="0.25">
      <c r="B49" s="21" t="s">
        <v>45</v>
      </c>
      <c r="D49" s="89" t="s">
        <v>50</v>
      </c>
      <c r="F49" s="83">
        <f>+F48</f>
        <v>0.72</v>
      </c>
      <c r="H49" s="71">
        <f>+H48</f>
        <v>1.43</v>
      </c>
      <c r="J49" s="71">
        <f>+J48</f>
        <v>2.15</v>
      </c>
      <c r="L49" s="71">
        <f>+L48</f>
        <v>2.86</v>
      </c>
      <c r="N49" s="72">
        <f>+N48</f>
        <v>3.58</v>
      </c>
      <c r="R49" t="s">
        <v>54</v>
      </c>
      <c r="T49" t="s">
        <v>56</v>
      </c>
      <c r="V49" t="s">
        <v>58</v>
      </c>
    </row>
    <row r="50" spans="2:22" x14ac:dyDescent="0.25">
      <c r="B50" s="87" t="s">
        <v>48</v>
      </c>
      <c r="D50" s="71">
        <v>4.74</v>
      </c>
      <c r="F50" s="83">
        <v>3.58</v>
      </c>
      <c r="H50" s="71">
        <v>3.58</v>
      </c>
      <c r="J50" s="71">
        <v>3.58</v>
      </c>
      <c r="L50" s="71">
        <v>3.58</v>
      </c>
      <c r="N50" s="72">
        <v>3.58</v>
      </c>
      <c r="P50" t="s">
        <v>112</v>
      </c>
      <c r="R50">
        <v>1</v>
      </c>
      <c r="T50">
        <v>1</v>
      </c>
      <c r="V50">
        <v>1</v>
      </c>
    </row>
    <row r="51" spans="2:22" x14ac:dyDescent="0.25">
      <c r="B51" s="87" t="s">
        <v>49</v>
      </c>
      <c r="D51" s="89" t="s">
        <v>50</v>
      </c>
      <c r="F51" s="83">
        <v>5.24</v>
      </c>
      <c r="H51" s="71">
        <v>5.24</v>
      </c>
      <c r="J51" s="71">
        <v>5.24</v>
      </c>
      <c r="L51" s="71">
        <v>5.24</v>
      </c>
      <c r="N51" s="72">
        <v>5.24</v>
      </c>
      <c r="P51" t="s">
        <v>93</v>
      </c>
      <c r="R51" s="179">
        <f>+D65</f>
        <v>1.0410193203726277</v>
      </c>
      <c r="T51" s="179">
        <f>+D66</f>
        <v>1.0184126869509105</v>
      </c>
      <c r="V51" s="179">
        <f>+D67</f>
        <v>1.0242696112902117</v>
      </c>
    </row>
    <row r="52" spans="2:22" ht="15.75" thickBot="1" x14ac:dyDescent="0.3">
      <c r="B52" s="91" t="s">
        <v>51</v>
      </c>
      <c r="C52" s="61"/>
      <c r="D52" s="92">
        <v>7.08</v>
      </c>
      <c r="E52" s="61"/>
      <c r="F52" s="93">
        <v>6.95</v>
      </c>
      <c r="G52" s="61"/>
      <c r="H52" s="92">
        <v>6.95</v>
      </c>
      <c r="I52" s="61"/>
      <c r="J52" s="92">
        <v>6.95</v>
      </c>
      <c r="K52" s="61"/>
      <c r="L52" s="92">
        <v>6.95</v>
      </c>
      <c r="M52" s="61"/>
      <c r="N52" s="94">
        <v>6.95</v>
      </c>
      <c r="P52" t="s">
        <v>94</v>
      </c>
      <c r="R52" s="179">
        <f>+F65</f>
        <v>1.0875856529690571</v>
      </c>
      <c r="T52" s="179">
        <f>+F66</f>
        <v>1.0379028987274443</v>
      </c>
      <c r="V52" s="179">
        <f>+F67</f>
        <v>1.0504288653387708</v>
      </c>
    </row>
    <row r="53" spans="2:22" x14ac:dyDescent="0.25">
      <c r="P53" t="s">
        <v>95</v>
      </c>
      <c r="R53" s="179">
        <f>+H65</f>
        <v>1.2025638672347001</v>
      </c>
      <c r="T53" s="179">
        <f>+H66</f>
        <v>1.0805177596559632</v>
      </c>
      <c r="V53" s="179">
        <f>+H67</f>
        <v>1.1093736086211066</v>
      </c>
    </row>
    <row r="54" spans="2:22" x14ac:dyDescent="0.25">
      <c r="B54" s="52" t="s">
        <v>53</v>
      </c>
      <c r="P54" t="s">
        <v>96</v>
      </c>
      <c r="R54" s="179">
        <f>+J65</f>
        <v>1.3601672613214792</v>
      </c>
      <c r="T54" s="179">
        <f>+J66</f>
        <v>1.1287814820696542</v>
      </c>
      <c r="V54" s="179">
        <f>+J67</f>
        <v>1.1791902637038956</v>
      </c>
    </row>
    <row r="55" spans="2:22" x14ac:dyDescent="0.25">
      <c r="B55" t="s">
        <v>54</v>
      </c>
      <c r="D55" s="101">
        <v>0.52</v>
      </c>
      <c r="P55" t="s">
        <v>97</v>
      </c>
      <c r="R55" s="179">
        <f>+L65</f>
        <v>1.8273442264705495</v>
      </c>
      <c r="T55" s="179">
        <f>+L66</f>
        <v>1.3605091650559256</v>
      </c>
      <c r="V55" s="179">
        <f>+L67</f>
        <v>1.4530124600568375</v>
      </c>
    </row>
    <row r="56" spans="2:22" x14ac:dyDescent="0.25">
      <c r="B56" t="s">
        <v>56</v>
      </c>
      <c r="D56" s="101">
        <v>0.9</v>
      </c>
      <c r="E56" s="101"/>
    </row>
    <row r="57" spans="2:22" x14ac:dyDescent="0.25">
      <c r="B57" t="s">
        <v>58</v>
      </c>
      <c r="D57" s="101">
        <v>0.83</v>
      </c>
      <c r="P57" t="s">
        <v>112</v>
      </c>
    </row>
    <row r="58" spans="2:22" x14ac:dyDescent="0.25">
      <c r="B58" t="s">
        <v>59</v>
      </c>
      <c r="D58" s="101">
        <v>0.5</v>
      </c>
      <c r="P58" t="s">
        <v>93</v>
      </c>
      <c r="R58" s="179">
        <f>+D79</f>
        <v>5.9560329475326204E-2</v>
      </c>
      <c r="T58" s="179">
        <f>+D80</f>
        <v>2.7642717225911519E-2</v>
      </c>
      <c r="V58" s="179">
        <f>+D81</f>
        <v>3.61180551027903E-2</v>
      </c>
    </row>
    <row r="59" spans="2:22" ht="15.75" thickBot="1" x14ac:dyDescent="0.3">
      <c r="P59" t="s">
        <v>94</v>
      </c>
      <c r="R59" s="179">
        <f>+F79</f>
        <v>0.11912065895065238</v>
      </c>
      <c r="T59" s="179">
        <f>+F80</f>
        <v>5.5285434451823018E-2</v>
      </c>
      <c r="V59" s="179">
        <f>+F81</f>
        <v>7.2236110205580586E-2</v>
      </c>
    </row>
    <row r="60" spans="2:22" ht="15.75" thickBot="1" x14ac:dyDescent="0.3">
      <c r="B60" s="175" t="s">
        <v>92</v>
      </c>
      <c r="C60" s="176"/>
      <c r="D60" s="177"/>
      <c r="E60" s="176"/>
      <c r="F60" s="177"/>
      <c r="G60" s="176"/>
      <c r="H60" s="177"/>
      <c r="I60" s="176"/>
      <c r="J60" s="177"/>
      <c r="K60" s="176"/>
      <c r="L60" s="178"/>
      <c r="P60" t="s">
        <v>95</v>
      </c>
      <c r="R60" s="179">
        <f>+H79</f>
        <v>0.23824131790130487</v>
      </c>
      <c r="T60" s="179">
        <f>+H80</f>
        <v>0.11057086890364608</v>
      </c>
      <c r="V60" s="179">
        <f>+H81</f>
        <v>0.14447222041116123</v>
      </c>
    </row>
    <row r="61" spans="2:22" ht="15.75" thickBot="1" x14ac:dyDescent="0.3">
      <c r="B61" s="148"/>
      <c r="C61" s="160"/>
      <c r="D61" s="149" t="s">
        <v>93</v>
      </c>
      <c r="E61" s="160"/>
      <c r="F61" s="149" t="s">
        <v>94</v>
      </c>
      <c r="G61" s="160"/>
      <c r="H61" s="149" t="s">
        <v>95</v>
      </c>
      <c r="I61" s="160"/>
      <c r="J61" s="149" t="s">
        <v>96</v>
      </c>
      <c r="K61" s="160"/>
      <c r="L61" s="150" t="s">
        <v>97</v>
      </c>
      <c r="P61" t="s">
        <v>96</v>
      </c>
      <c r="R61" s="179">
        <f>+J79</f>
        <v>0.3573619768519572</v>
      </c>
      <c r="T61" s="179">
        <f>+J80</f>
        <v>0.16585630335546908</v>
      </c>
      <c r="V61" s="179">
        <f>+J81</f>
        <v>0.21670833061674183</v>
      </c>
    </row>
    <row r="62" spans="2:22" x14ac:dyDescent="0.25">
      <c r="B62" s="151"/>
      <c r="C62" s="161"/>
      <c r="D62" s="152" t="s">
        <v>98</v>
      </c>
      <c r="E62" s="161"/>
      <c r="F62" s="152" t="s">
        <v>98</v>
      </c>
      <c r="G62" s="161"/>
      <c r="H62" s="152" t="s">
        <v>98</v>
      </c>
      <c r="I62" s="161"/>
      <c r="J62" s="152" t="s">
        <v>98</v>
      </c>
      <c r="K62" s="161"/>
      <c r="L62" s="157" t="s">
        <v>98</v>
      </c>
      <c r="P62" t="s">
        <v>97</v>
      </c>
      <c r="R62" s="179">
        <f>+L79</f>
        <v>0.56090109339146699</v>
      </c>
      <c r="T62" s="179">
        <f>+L80</f>
        <v>0.35757991189338745</v>
      </c>
      <c r="V62" s="179">
        <f>+L81</f>
        <v>0.41156940513168633</v>
      </c>
    </row>
    <row r="63" spans="2:22" x14ac:dyDescent="0.25">
      <c r="B63" s="153" t="s">
        <v>99</v>
      </c>
      <c r="C63" s="162"/>
      <c r="D63" s="159" t="s">
        <v>100</v>
      </c>
      <c r="E63" s="162"/>
      <c r="F63" s="159" t="s">
        <v>101</v>
      </c>
      <c r="G63" s="162"/>
      <c r="H63" s="159" t="s">
        <v>102</v>
      </c>
      <c r="I63" s="162"/>
      <c r="J63" s="159" t="s">
        <v>103</v>
      </c>
      <c r="K63" s="162"/>
      <c r="L63" s="158" t="s">
        <v>104</v>
      </c>
    </row>
    <row r="64" spans="2:22" x14ac:dyDescent="0.25">
      <c r="B64" s="163"/>
      <c r="C64" s="164"/>
      <c r="D64" s="165"/>
      <c r="E64" s="164"/>
      <c r="F64" s="165"/>
      <c r="G64" s="164"/>
      <c r="H64" s="165"/>
      <c r="I64" s="164"/>
      <c r="J64" s="165"/>
      <c r="K64" s="164"/>
      <c r="L64" s="166"/>
    </row>
    <row r="65" spans="2:22" x14ac:dyDescent="0.25">
      <c r="B65" s="167" t="s">
        <v>43</v>
      </c>
      <c r="C65" s="164"/>
      <c r="D65" s="168">
        <v>1.0410193203726277</v>
      </c>
      <c r="E65" s="164"/>
      <c r="F65" s="168">
        <v>1.0875856529690571</v>
      </c>
      <c r="G65" s="164"/>
      <c r="H65" s="168">
        <v>1.2025638672347001</v>
      </c>
      <c r="I65" s="164"/>
      <c r="J65" s="168">
        <v>1.3601672613214792</v>
      </c>
      <c r="K65" s="164"/>
      <c r="L65" s="169">
        <v>1.8273442264705495</v>
      </c>
      <c r="P65" s="185" t="s">
        <v>114</v>
      </c>
    </row>
    <row r="66" spans="2:22" x14ac:dyDescent="0.25">
      <c r="B66" s="167" t="s">
        <v>105</v>
      </c>
      <c r="C66" s="164"/>
      <c r="D66" s="168">
        <v>1.0184126869509105</v>
      </c>
      <c r="E66" s="164"/>
      <c r="F66" s="168">
        <v>1.0379028987274443</v>
      </c>
      <c r="G66" s="164"/>
      <c r="H66" s="168">
        <v>1.0805177596559632</v>
      </c>
      <c r="I66" s="164"/>
      <c r="J66" s="168">
        <v>1.1287814820696542</v>
      </c>
      <c r="K66" s="164"/>
      <c r="L66" s="169">
        <v>1.3605091650559256</v>
      </c>
      <c r="R66" t="s">
        <v>54</v>
      </c>
      <c r="T66" t="s">
        <v>56</v>
      </c>
      <c r="V66" t="s">
        <v>58</v>
      </c>
    </row>
    <row r="67" spans="2:22" x14ac:dyDescent="0.25">
      <c r="B67" s="167" t="s">
        <v>46</v>
      </c>
      <c r="C67" s="164"/>
      <c r="D67" s="168">
        <v>1.0242696112902117</v>
      </c>
      <c r="E67" s="164"/>
      <c r="F67" s="168">
        <v>1.0504288653387708</v>
      </c>
      <c r="G67" s="164"/>
      <c r="H67" s="168">
        <v>1.1093736086211066</v>
      </c>
      <c r="I67" s="164"/>
      <c r="J67" s="168">
        <v>1.1791902637038956</v>
      </c>
      <c r="K67" s="164"/>
      <c r="L67" s="169">
        <v>1.4530124600568375</v>
      </c>
      <c r="P67" t="s">
        <v>112</v>
      </c>
      <c r="R67">
        <v>1</v>
      </c>
      <c r="T67">
        <v>1</v>
      </c>
      <c r="V67">
        <v>1</v>
      </c>
    </row>
    <row r="68" spans="2:22" x14ac:dyDescent="0.25">
      <c r="B68" s="167" t="s">
        <v>106</v>
      </c>
      <c r="C68" s="164"/>
      <c r="D68" s="168">
        <v>1.0954908323054078</v>
      </c>
      <c r="E68" s="164"/>
      <c r="F68" s="168">
        <v>1.2240082239459082</v>
      </c>
      <c r="G68" s="164"/>
      <c r="H68" s="168">
        <v>1.6848949241117872</v>
      </c>
      <c r="I68" s="164"/>
      <c r="J68" s="168">
        <v>3.179931364192977</v>
      </c>
      <c r="K68" s="164"/>
      <c r="L68" s="170" t="s">
        <v>50</v>
      </c>
      <c r="P68" t="s">
        <v>93</v>
      </c>
      <c r="R68" s="179">
        <v>1.0389999999999999</v>
      </c>
      <c r="T68" s="179">
        <v>1.016</v>
      </c>
      <c r="V68" s="179">
        <v>1.0229999999999999</v>
      </c>
    </row>
    <row r="69" spans="2:22" ht="15.75" thickBot="1" x14ac:dyDescent="0.3">
      <c r="B69" s="171"/>
      <c r="C69" s="172"/>
      <c r="D69" s="173"/>
      <c r="E69" s="172"/>
      <c r="F69" s="173"/>
      <c r="G69" s="172"/>
      <c r="H69" s="173"/>
      <c r="I69" s="172"/>
      <c r="J69" s="173"/>
      <c r="K69" s="172"/>
      <c r="L69" s="174"/>
      <c r="P69" t="s">
        <v>94</v>
      </c>
      <c r="R69" s="179">
        <v>1.081</v>
      </c>
      <c r="T69" s="179">
        <v>1.0329999999999999</v>
      </c>
      <c r="V69" s="179">
        <v>1.048</v>
      </c>
    </row>
    <row r="70" spans="2:22" x14ac:dyDescent="0.25">
      <c r="B70" s="154" t="s">
        <v>107</v>
      </c>
      <c r="C70" s="155"/>
      <c r="D70" s="155"/>
      <c r="E70" s="155"/>
      <c r="F70" s="155"/>
      <c r="G70" s="155"/>
      <c r="P70" t="s">
        <v>95</v>
      </c>
      <c r="R70" s="179">
        <v>1.1870000000000001</v>
      </c>
      <c r="T70" s="179">
        <v>1.069</v>
      </c>
      <c r="V70" s="179">
        <v>1.103</v>
      </c>
    </row>
    <row r="71" spans="2:22" x14ac:dyDescent="0.25">
      <c r="P71" t="s">
        <v>96</v>
      </c>
      <c r="R71" s="179">
        <v>1.333</v>
      </c>
      <c r="T71" s="179">
        <v>1.1100000000000001</v>
      </c>
      <c r="V71" s="179">
        <v>1.17</v>
      </c>
    </row>
    <row r="72" spans="2:22" x14ac:dyDescent="0.25">
      <c r="B72" s="156" t="s">
        <v>108</v>
      </c>
      <c r="P72" t="s">
        <v>97</v>
      </c>
      <c r="R72" s="179">
        <v>1.8240000000000001</v>
      </c>
      <c r="T72" s="179">
        <v>1.262</v>
      </c>
      <c r="V72" s="179">
        <v>1.3879999999999999</v>
      </c>
    </row>
    <row r="73" spans="2:22" ht="15.75" thickBot="1" x14ac:dyDescent="0.3"/>
    <row r="74" spans="2:22" ht="15.75" thickBot="1" x14ac:dyDescent="0.3">
      <c r="B74" s="175" t="s">
        <v>110</v>
      </c>
      <c r="C74" s="176"/>
      <c r="D74" s="177"/>
      <c r="E74" s="176"/>
      <c r="F74" s="177"/>
      <c r="G74" s="176"/>
      <c r="H74" s="177"/>
      <c r="I74" s="176"/>
      <c r="J74" s="177"/>
      <c r="K74" s="176"/>
      <c r="L74" s="178"/>
    </row>
    <row r="75" spans="2:22" ht="15.75" thickBot="1" x14ac:dyDescent="0.3">
      <c r="B75" s="148"/>
      <c r="C75" s="160"/>
      <c r="D75" s="149" t="s">
        <v>93</v>
      </c>
      <c r="E75" s="160"/>
      <c r="F75" s="149" t="s">
        <v>94</v>
      </c>
      <c r="G75" s="160"/>
      <c r="H75" s="149" t="s">
        <v>95</v>
      </c>
      <c r="I75" s="160"/>
      <c r="J75" s="149" t="s">
        <v>96</v>
      </c>
      <c r="K75" s="160"/>
      <c r="L75" s="150" t="s">
        <v>97</v>
      </c>
    </row>
    <row r="76" spans="2:22" x14ac:dyDescent="0.25">
      <c r="B76" s="151"/>
      <c r="C76" s="161"/>
      <c r="D76" s="152" t="s">
        <v>98</v>
      </c>
      <c r="E76" s="161"/>
      <c r="F76" s="152" t="s">
        <v>98</v>
      </c>
      <c r="G76" s="161"/>
      <c r="H76" s="152" t="s">
        <v>98</v>
      </c>
      <c r="I76" s="161"/>
      <c r="J76" s="152" t="s">
        <v>98</v>
      </c>
      <c r="K76" s="161"/>
      <c r="L76" s="157" t="s">
        <v>98</v>
      </c>
    </row>
    <row r="77" spans="2:22" x14ac:dyDescent="0.25">
      <c r="B77" s="153" t="s">
        <v>99</v>
      </c>
      <c r="C77" s="162"/>
      <c r="D77" s="159" t="s">
        <v>100</v>
      </c>
      <c r="E77" s="162"/>
      <c r="F77" s="159" t="s">
        <v>101</v>
      </c>
      <c r="G77" s="162"/>
      <c r="H77" s="159" t="s">
        <v>102</v>
      </c>
      <c r="I77" s="162"/>
      <c r="J77" s="159" t="s">
        <v>103</v>
      </c>
      <c r="K77" s="162"/>
      <c r="L77" s="158" t="s">
        <v>104</v>
      </c>
    </row>
    <row r="78" spans="2:22" x14ac:dyDescent="0.25">
      <c r="B78" s="163"/>
      <c r="C78" s="164"/>
      <c r="D78" s="165"/>
      <c r="E78" s="164"/>
      <c r="F78" s="165"/>
      <c r="G78" s="164"/>
      <c r="H78" s="165"/>
      <c r="I78" s="164"/>
      <c r="J78" s="165"/>
      <c r="K78" s="164"/>
      <c r="L78" s="166"/>
    </row>
    <row r="79" spans="2:22" x14ac:dyDescent="0.25">
      <c r="B79" s="167" t="s">
        <v>43</v>
      </c>
      <c r="C79" s="164"/>
      <c r="D79" s="180">
        <v>5.9560329475326204E-2</v>
      </c>
      <c r="E79" s="181"/>
      <c r="F79" s="180">
        <v>0.11912065895065238</v>
      </c>
      <c r="G79" s="181"/>
      <c r="H79" s="180">
        <v>0.23824131790130487</v>
      </c>
      <c r="I79" s="181"/>
      <c r="J79" s="180">
        <v>0.3573619768519572</v>
      </c>
      <c r="K79" s="181"/>
      <c r="L79" s="182">
        <v>0.56090109339146699</v>
      </c>
    </row>
    <row r="80" spans="2:22" x14ac:dyDescent="0.25">
      <c r="B80" s="167" t="s">
        <v>105</v>
      </c>
      <c r="C80" s="164"/>
      <c r="D80" s="180">
        <v>2.7642717225911519E-2</v>
      </c>
      <c r="E80" s="181"/>
      <c r="F80" s="180">
        <v>5.5285434451823018E-2</v>
      </c>
      <c r="G80" s="181"/>
      <c r="H80" s="180">
        <v>0.11057086890364608</v>
      </c>
      <c r="I80" s="181"/>
      <c r="J80" s="180">
        <v>0.16585630335546908</v>
      </c>
      <c r="K80" s="181"/>
      <c r="L80" s="182">
        <v>0.35757991189338745</v>
      </c>
    </row>
    <row r="81" spans="2:12" x14ac:dyDescent="0.25">
      <c r="B81" s="167" t="s">
        <v>46</v>
      </c>
      <c r="C81" s="164"/>
      <c r="D81" s="180">
        <v>3.61180551027903E-2</v>
      </c>
      <c r="E81" s="181"/>
      <c r="F81" s="180">
        <v>7.2236110205580586E-2</v>
      </c>
      <c r="G81" s="181"/>
      <c r="H81" s="180">
        <v>0.14447222041116123</v>
      </c>
      <c r="I81" s="181"/>
      <c r="J81" s="180">
        <v>0.21670833061674183</v>
      </c>
      <c r="K81" s="181"/>
      <c r="L81" s="182">
        <v>0.41156940513168633</v>
      </c>
    </row>
    <row r="82" spans="2:12" x14ac:dyDescent="0.25">
      <c r="B82" s="167" t="s">
        <v>106</v>
      </c>
      <c r="C82" s="164"/>
      <c r="D82" s="180">
        <v>0.12849062260568306</v>
      </c>
      <c r="E82" s="181"/>
      <c r="F82" s="180">
        <v>0.25698124521136606</v>
      </c>
      <c r="G82" s="181"/>
      <c r="H82" s="180">
        <v>0.51396249042273234</v>
      </c>
      <c r="I82" s="181"/>
      <c r="J82" s="180">
        <v>0.77094373563409835</v>
      </c>
      <c r="K82" s="181"/>
      <c r="L82" s="183">
        <v>1</v>
      </c>
    </row>
    <row r="83" spans="2:12" ht="15.75" thickBot="1" x14ac:dyDescent="0.3">
      <c r="B83" s="171"/>
      <c r="C83" s="172"/>
      <c r="D83" s="173"/>
      <c r="E83" s="172"/>
      <c r="F83" s="173"/>
      <c r="G83" s="172"/>
      <c r="H83" s="173"/>
      <c r="I83" s="172"/>
      <c r="J83" s="173"/>
      <c r="K83" s="172"/>
      <c r="L83" s="174"/>
    </row>
  </sheetData>
  <sheetProtection selectLockedCells="1"/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Time xmlns="aa7bb00e-7704-4731-b07d-6302c1229797" xsi:nil="true"/>
    <_dlc_DocId xmlns="1d59557a-ed3f-40e3-ad66-d74e46938fb9">P7E4DZWM7JZX-867239052-527305</_dlc_DocId>
    <lcf76f155ced4ddcb4097134ff3c332f xmlns="aa7bb00e-7704-4731-b07d-6302c1229797">
      <Terms xmlns="http://schemas.microsoft.com/office/infopath/2007/PartnerControls"/>
    </lcf76f155ced4ddcb4097134ff3c332f>
    <TaxCatchAll xmlns="1d59557a-ed3f-40e3-ad66-d74e46938fb9" xsi:nil="true"/>
    <Time xmlns="aa7bb00e-7704-4731-b07d-6302c1229797" xsi:nil="true"/>
    <_dlc_DocIdUrl xmlns="1d59557a-ed3f-40e3-ad66-d74e46938fb9">
      <Url>https://hfhconsultants.sharepoint.com/sites/Norcal/_layouts/15/DocIdRedir.aspx?ID=P7E4DZWM7JZX-867239052-527305</Url>
      <Description>P7E4DZWM7JZX-867239052-527305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D6369D6E07E49AD9F128BC4F55193" ma:contentTypeVersion="20" ma:contentTypeDescription="Create a new document." ma:contentTypeScope="" ma:versionID="7e0daa9e2daaa8e75f85ea8f4b108c90">
  <xsd:schema xmlns:xsd="http://www.w3.org/2001/XMLSchema" xmlns:xs="http://www.w3.org/2001/XMLSchema" xmlns:p="http://schemas.microsoft.com/office/2006/metadata/properties" xmlns:ns2="1d59557a-ed3f-40e3-ad66-d74e46938fb9" xmlns:ns3="aa7bb00e-7704-4731-b07d-6302c1229797" targetNamespace="http://schemas.microsoft.com/office/2006/metadata/properties" ma:root="true" ma:fieldsID="c59c60b2205ea6e8949fc96a68aa7f9f" ns2:_="" ns3:_="">
    <xsd:import namespace="1d59557a-ed3f-40e3-ad66-d74e46938fb9"/>
    <xsd:import namespace="aa7bb00e-7704-4731-b07d-6302c1229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  <xsd:element ref="ns3:DateTime" minOccurs="0"/>
                <xsd:element ref="ns3:Time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9557a-ed3f-40e3-ad66-d74e46938fb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2b191e6-a921-42ce-a055-5a172b3d562b}" ma:internalName="TaxCatchAll" ma:showField="CatchAllData" ma:web="1d59557a-ed3f-40e3-ad66-d74e46938f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bb00e-7704-4731-b07d-6302c12297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Time" ma:index="24" nillable="true" ma:displayName="Date &amp; Time" ma:format="DateTime" ma:internalName="DateTime">
      <xsd:simpleType>
        <xsd:restriction base="dms:DateTime"/>
      </xsd:simpleType>
    </xsd:element>
    <xsd:element name="Time" ma:index="25" nillable="true" ma:displayName="Time" ma:format="Dropdown" ma:internalName="Time">
      <xsd:simpleType>
        <xsd:restriction base="dms:Text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883b6956-e872-4308-b299-9c27ed91cb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6FE413-16EE-4BFC-9570-4EA1868F564E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a7bb00e-7704-4731-b07d-6302c1229797"/>
    <ds:schemaRef ds:uri="1d59557a-ed3f-40e3-ad66-d74e46938fb9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18A4B94-EE38-4991-836B-B8C81B736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9557a-ed3f-40e3-ad66-d74e46938fb9"/>
    <ds:schemaRef ds:uri="aa7bb00e-7704-4731-b07d-6302c1229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FEF39D-C4CE-4803-B75A-E3C45E2FE6D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42770B9-F887-4520-A509-1DB2E366E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Single Family &amp; Duplexes</vt:lpstr>
      <vt:lpstr>Multi Family 3+ units</vt:lpstr>
      <vt:lpstr>Commercial</vt:lpstr>
      <vt:lpstr>back-up</vt:lpstr>
      <vt:lpstr>'Single Family &amp; Duplexes'!Print_Area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 Sasser</dc:creator>
  <cp:keywords/>
  <dc:description/>
  <cp:lastModifiedBy>Rick Simonson</cp:lastModifiedBy>
  <cp:revision/>
  <dcterms:created xsi:type="dcterms:W3CDTF">2023-07-19T00:36:48Z</dcterms:created>
  <dcterms:modified xsi:type="dcterms:W3CDTF">2023-12-20T19:35:07Z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0x0101001C7D6369D6E07E49AD9F128BC4F55193</vt:lpwstr>
  </property>
  <property fmtid="{D5CDD505-2E9C-101B-9397-08002B2CF9AE}" pid="4" name="_dlc_DocIdItemGuid">
    <vt:lpwstr>f5ddace7-3419-42df-b44a-ecd7345b4630</vt:lpwstr>
  </property>
</Properties>
</file>